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ublic_html\7386\"/>
    </mc:Choice>
  </mc:AlternateContent>
  <bookViews>
    <workbookView xWindow="0" yWindow="0" windowWidth="14190" windowHeight="12210" activeTab="1"/>
  </bookViews>
  <sheets>
    <sheet name="Data" sheetId="1" r:id="rId1"/>
    <sheet name="Bond Value 1996" sheetId="4" r:id="rId2"/>
    <sheet name="Binomial Probabilities" sheetId="5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5" l="1"/>
  <c r="E15" i="4"/>
  <c r="D15" i="4"/>
  <c r="C15" i="4"/>
  <c r="I31" i="1" l="1"/>
  <c r="F31" i="1"/>
  <c r="C31" i="1"/>
  <c r="I29" i="1"/>
  <c r="F29" i="1"/>
  <c r="C29" i="1"/>
  <c r="C64" i="5"/>
  <c r="F8" i="4"/>
  <c r="C7" i="4" s="1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E61" i="5"/>
  <c r="F61" i="5" s="1"/>
  <c r="E13" i="5"/>
  <c r="A13" i="5"/>
  <c r="B14" i="5"/>
  <c r="E14" i="5" s="1"/>
  <c r="C61" i="4"/>
  <c r="C60" i="4"/>
  <c r="C59" i="4"/>
  <c r="C58" i="4"/>
  <c r="C57" i="4"/>
  <c r="C52" i="4"/>
  <c r="C48" i="4"/>
  <c r="C45" i="4"/>
  <c r="C44" i="4"/>
  <c r="C43" i="4"/>
  <c r="C42" i="4"/>
  <c r="C41" i="4"/>
  <c r="C36" i="4"/>
  <c r="C32" i="4"/>
  <c r="C29" i="4"/>
  <c r="C28" i="4"/>
  <c r="C27" i="4"/>
  <c r="C26" i="4"/>
  <c r="C25" i="4"/>
  <c r="C20" i="4"/>
  <c r="C19" i="4"/>
  <c r="C16" i="4"/>
  <c r="C5" i="4"/>
  <c r="C56" i="4" s="1"/>
  <c r="A15" i="4"/>
  <c r="C62" i="4" l="1"/>
  <c r="C30" i="4"/>
  <c r="C46" i="4"/>
  <c r="C6" i="4"/>
  <c r="C31" i="4"/>
  <c r="C47" i="4"/>
  <c r="C63" i="4"/>
  <c r="E63" i="4" s="1"/>
  <c r="C49" i="4"/>
  <c r="C17" i="4"/>
  <c r="D17" i="4" s="1"/>
  <c r="C33" i="4"/>
  <c r="B15" i="5"/>
  <c r="C18" i="4"/>
  <c r="C34" i="4"/>
  <c r="C50" i="4"/>
  <c r="A14" i="5"/>
  <c r="C35" i="4"/>
  <c r="C51" i="4"/>
  <c r="C64" i="4"/>
  <c r="C21" i="4"/>
  <c r="C37" i="4"/>
  <c r="C53" i="4"/>
  <c r="C22" i="4"/>
  <c r="C38" i="4"/>
  <c r="C54" i="4"/>
  <c r="C23" i="4"/>
  <c r="D23" i="4" s="1"/>
  <c r="C39" i="4"/>
  <c r="C55" i="4"/>
  <c r="C24" i="4"/>
  <c r="C40" i="4"/>
  <c r="C9" i="4"/>
  <c r="D16" i="4"/>
  <c r="D27" i="4"/>
  <c r="E29" i="4"/>
  <c r="D44" i="4"/>
  <c r="D22" i="4"/>
  <c r="D26" i="4"/>
  <c r="D19" i="4"/>
  <c r="B16" i="5" l="1"/>
  <c r="E15" i="5"/>
  <c r="A15" i="5"/>
  <c r="D63" i="4"/>
  <c r="F15" i="4"/>
  <c r="E45" i="4"/>
  <c r="D47" i="4"/>
  <c r="E47" i="4"/>
  <c r="E32" i="4"/>
  <c r="E43" i="4"/>
  <c r="E54" i="4"/>
  <c r="E28" i="4"/>
  <c r="D50" i="4"/>
  <c r="D48" i="4"/>
  <c r="E49" i="4"/>
  <c r="E21" i="4"/>
  <c r="E27" i="4"/>
  <c r="D43" i="4"/>
  <c r="E25" i="4"/>
  <c r="D42" i="4"/>
  <c r="E19" i="4"/>
  <c r="D32" i="4"/>
  <c r="E26" i="4"/>
  <c r="E24" i="4"/>
  <c r="E22" i="4"/>
  <c r="E33" i="4"/>
  <c r="E57" i="4"/>
  <c r="D59" i="4"/>
  <c r="E52" i="4"/>
  <c r="D31" i="4"/>
  <c r="E36" i="4"/>
  <c r="E40" i="4"/>
  <c r="D39" i="4"/>
  <c r="D58" i="4"/>
  <c r="D60" i="4"/>
  <c r="D36" i="4"/>
  <c r="D28" i="4"/>
  <c r="D41" i="4"/>
  <c r="D54" i="4"/>
  <c r="E42" i="4"/>
  <c r="D20" i="4"/>
  <c r="E37" i="4"/>
  <c r="E39" i="4"/>
  <c r="E18" i="4"/>
  <c r="D35" i="4"/>
  <c r="D57" i="4"/>
  <c r="D46" i="4"/>
  <c r="D56" i="4"/>
  <c r="E34" i="4"/>
  <c r="D29" i="4"/>
  <c r="D34" i="4"/>
  <c r="D52" i="4"/>
  <c r="E51" i="4"/>
  <c r="D49" i="4"/>
  <c r="E16" i="4"/>
  <c r="E58" i="4"/>
  <c r="D18" i="4"/>
  <c r="D55" i="4"/>
  <c r="E56" i="4"/>
  <c r="E44" i="4"/>
  <c r="D37" i="4"/>
  <c r="D53" i="4"/>
  <c r="D25" i="4"/>
  <c r="E20" i="4"/>
  <c r="D38" i="4"/>
  <c r="E35" i="4"/>
  <c r="D51" i="4"/>
  <c r="E38" i="4"/>
  <c r="E55" i="4"/>
  <c r="E31" i="4"/>
  <c r="E30" i="4"/>
  <c r="D61" i="4"/>
  <c r="E46" i="4"/>
  <c r="E59" i="4"/>
  <c r="D45" i="4"/>
  <c r="D33" i="4"/>
  <c r="E62" i="4"/>
  <c r="D62" i="4"/>
  <c r="D30" i="4"/>
  <c r="E23" i="4"/>
  <c r="E60" i="4"/>
  <c r="D24" i="4"/>
  <c r="E48" i="4"/>
  <c r="D40" i="4"/>
  <c r="E17" i="4"/>
  <c r="F17" i="4" s="1"/>
  <c r="E41" i="4"/>
  <c r="E53" i="4"/>
  <c r="D21" i="4"/>
  <c r="E50" i="4"/>
  <c r="B17" i="5" l="1"/>
  <c r="E16" i="5"/>
  <c r="A16" i="5"/>
  <c r="F63" i="4"/>
  <c r="F16" i="4"/>
  <c r="F23" i="4"/>
  <c r="F18" i="4"/>
  <c r="F24" i="4"/>
  <c r="F47" i="4"/>
  <c r="F19" i="4"/>
  <c r="F27" i="4"/>
  <c r="F21" i="4"/>
  <c r="F36" i="4"/>
  <c r="F49" i="4"/>
  <c r="F32" i="4"/>
  <c r="F28" i="4"/>
  <c r="F20" i="4"/>
  <c r="F56" i="4"/>
  <c r="F33" i="4"/>
  <c r="F50" i="4"/>
  <c r="F44" i="4"/>
  <c r="F57" i="4"/>
  <c r="F43" i="4"/>
  <c r="F55" i="4"/>
  <c r="F38" i="4"/>
  <c r="F48" i="4"/>
  <c r="F54" i="4"/>
  <c r="F51" i="4"/>
  <c r="F52" i="4"/>
  <c r="F25" i="4"/>
  <c r="F34" i="4"/>
  <c r="F45" i="4"/>
  <c r="F22" i="4"/>
  <c r="F40" i="4"/>
  <c r="F60" i="4"/>
  <c r="F31" i="4"/>
  <c r="F39" i="4"/>
  <c r="F29" i="4"/>
  <c r="E61" i="4"/>
  <c r="F64" i="4"/>
  <c r="F37" i="4"/>
  <c r="F35" i="4"/>
  <c r="F59" i="4"/>
  <c r="F58" i="4"/>
  <c r="F26" i="4"/>
  <c r="F62" i="4"/>
  <c r="F42" i="4"/>
  <c r="F30" i="4"/>
  <c r="F46" i="4"/>
  <c r="F41" i="4"/>
  <c r="F53" i="4"/>
  <c r="B18" i="5" l="1"/>
  <c r="E17" i="5"/>
  <c r="A17" i="5"/>
  <c r="F61" i="4"/>
  <c r="D65" i="4"/>
  <c r="D64" i="4"/>
  <c r="B19" i="5" l="1"/>
  <c r="A18" i="5"/>
  <c r="E18" i="5"/>
  <c r="F65" i="4"/>
  <c r="K65" i="4" s="1"/>
  <c r="I65" i="4"/>
  <c r="B20" i="5" l="1"/>
  <c r="A19" i="5"/>
  <c r="E19" i="5"/>
  <c r="B21" i="5" l="1"/>
  <c r="A20" i="5"/>
  <c r="E20" i="5"/>
  <c r="H13" i="5"/>
  <c r="F19" i="5"/>
  <c r="F17" i="5"/>
  <c r="F16" i="5"/>
  <c r="F15" i="5"/>
  <c r="C9" i="5"/>
  <c r="C5" i="5"/>
  <c r="H15" i="4" l="1"/>
  <c r="F20" i="5"/>
  <c r="B22" i="5"/>
  <c r="A21" i="5"/>
  <c r="E21" i="5"/>
  <c r="D13" i="5"/>
  <c r="I13" i="5" s="1"/>
  <c r="C13" i="5"/>
  <c r="D16" i="5" s="1"/>
  <c r="C61" i="5"/>
  <c r="D14" i="5"/>
  <c r="F13" i="5"/>
  <c r="H20" i="5" s="1"/>
  <c r="H22" i="4" s="1"/>
  <c r="C21" i="5"/>
  <c r="C20" i="5"/>
  <c r="C17" i="5"/>
  <c r="F14" i="5"/>
  <c r="C19" i="5"/>
  <c r="C18" i="5"/>
  <c r="C15" i="5"/>
  <c r="F18" i="5"/>
  <c r="C16" i="5"/>
  <c r="C14" i="5"/>
  <c r="C22" i="5"/>
  <c r="J22" i="4" l="1"/>
  <c r="I22" i="4"/>
  <c r="K22" i="4"/>
  <c r="D18" i="5"/>
  <c r="H21" i="5"/>
  <c r="H23" i="4" s="1"/>
  <c r="F21" i="5"/>
  <c r="D20" i="5"/>
  <c r="I20" i="5" s="1"/>
  <c r="B23" i="5"/>
  <c r="E22" i="5"/>
  <c r="A22" i="5"/>
  <c r="I14" i="5"/>
  <c r="D19" i="5"/>
  <c r="D17" i="5"/>
  <c r="H15" i="5"/>
  <c r="H17" i="4" s="1"/>
  <c r="H16" i="5"/>
  <c r="H18" i="4" s="1"/>
  <c r="H17" i="5"/>
  <c r="H19" i="4" s="1"/>
  <c r="H18" i="5"/>
  <c r="H20" i="4" s="1"/>
  <c r="H19" i="5"/>
  <c r="H21" i="4" s="1"/>
  <c r="I15" i="4"/>
  <c r="K15" i="4"/>
  <c r="G19" i="5"/>
  <c r="G13" i="5"/>
  <c r="G20" i="5"/>
  <c r="G17" i="5"/>
  <c r="G18" i="5"/>
  <c r="G14" i="5"/>
  <c r="G15" i="5"/>
  <c r="G16" i="5"/>
  <c r="D15" i="5"/>
  <c r="I15" i="5" s="1"/>
  <c r="H22" i="5" l="1"/>
  <c r="H24" i="4" s="1"/>
  <c r="F22" i="5"/>
  <c r="B24" i="5"/>
  <c r="E23" i="5"/>
  <c r="A23" i="5"/>
  <c r="C23" i="5"/>
  <c r="D21" i="5"/>
  <c r="I21" i="5" s="1"/>
  <c r="I23" i="4"/>
  <c r="J23" i="4"/>
  <c r="K23" i="4"/>
  <c r="J20" i="4"/>
  <c r="I20" i="4"/>
  <c r="K20" i="4"/>
  <c r="J17" i="4"/>
  <c r="K17" i="4"/>
  <c r="I17" i="4"/>
  <c r="I18" i="5"/>
  <c r="J19" i="4"/>
  <c r="I19" i="4"/>
  <c r="K19" i="4"/>
  <c r="J18" i="4"/>
  <c r="I18" i="4"/>
  <c r="K18" i="4"/>
  <c r="J21" i="4"/>
  <c r="I21" i="4"/>
  <c r="K21" i="4"/>
  <c r="H16" i="4"/>
  <c r="G21" i="5"/>
  <c r="I17" i="5"/>
  <c r="I19" i="5"/>
  <c r="I16" i="5"/>
  <c r="J16" i="4" l="1"/>
  <c r="I16" i="4"/>
  <c r="K16" i="4"/>
  <c r="H23" i="5"/>
  <c r="F23" i="5"/>
  <c r="B25" i="5"/>
  <c r="E24" i="5"/>
  <c r="A24" i="5"/>
  <c r="C24" i="5"/>
  <c r="D22" i="5"/>
  <c r="I22" i="5" s="1"/>
  <c r="G22" i="5"/>
  <c r="I24" i="4"/>
  <c r="J24" i="4"/>
  <c r="K24" i="4"/>
  <c r="H25" i="4" l="1"/>
  <c r="H24" i="5"/>
  <c r="H26" i="4" s="1"/>
  <c r="F24" i="5"/>
  <c r="G24" i="5"/>
  <c r="G23" i="5"/>
  <c r="B26" i="5"/>
  <c r="E25" i="5"/>
  <c r="A25" i="5"/>
  <c r="C25" i="5"/>
  <c r="D23" i="5"/>
  <c r="I23" i="5" s="1"/>
  <c r="I26" i="4" l="1"/>
  <c r="J26" i="4"/>
  <c r="K26" i="4"/>
  <c r="H25" i="5"/>
  <c r="H27" i="4" s="1"/>
  <c r="F25" i="5"/>
  <c r="I25" i="4"/>
  <c r="J25" i="4"/>
  <c r="K25" i="4"/>
  <c r="B27" i="5"/>
  <c r="E26" i="5"/>
  <c r="A26" i="5"/>
  <c r="C26" i="5"/>
  <c r="D24" i="5"/>
  <c r="I24" i="5" s="1"/>
  <c r="H26" i="5" l="1"/>
  <c r="H28" i="4" s="1"/>
  <c r="F26" i="5"/>
  <c r="B28" i="5"/>
  <c r="E27" i="5"/>
  <c r="A27" i="5"/>
  <c r="C27" i="5"/>
  <c r="J27" i="4"/>
  <c r="I27" i="4"/>
  <c r="K27" i="4"/>
  <c r="G25" i="5"/>
  <c r="G26" i="5"/>
  <c r="D25" i="5"/>
  <c r="I25" i="5" s="1"/>
  <c r="H27" i="5" l="1"/>
  <c r="H29" i="4" s="1"/>
  <c r="F27" i="5"/>
  <c r="B29" i="5"/>
  <c r="E28" i="5"/>
  <c r="A28" i="5"/>
  <c r="C28" i="5"/>
  <c r="D26" i="5"/>
  <c r="I26" i="5" s="1"/>
  <c r="G27" i="5"/>
  <c r="J28" i="4"/>
  <c r="I28" i="4"/>
  <c r="K28" i="4"/>
  <c r="H28" i="5" l="1"/>
  <c r="H30" i="4" s="1"/>
  <c r="F28" i="5"/>
  <c r="B30" i="5"/>
  <c r="E29" i="5"/>
  <c r="A29" i="5"/>
  <c r="C29" i="5"/>
  <c r="D27" i="5"/>
  <c r="I27" i="5" s="1"/>
  <c r="I29" i="4"/>
  <c r="J29" i="4"/>
  <c r="K29" i="4"/>
  <c r="H29" i="5" l="1"/>
  <c r="H31" i="4" s="1"/>
  <c r="F29" i="5"/>
  <c r="B31" i="5"/>
  <c r="E30" i="5"/>
  <c r="A30" i="5"/>
  <c r="C30" i="5"/>
  <c r="D28" i="5"/>
  <c r="I28" i="5" s="1"/>
  <c r="G28" i="5"/>
  <c r="I30" i="4"/>
  <c r="J30" i="4"/>
  <c r="K30" i="4"/>
  <c r="H30" i="5" l="1"/>
  <c r="H32" i="4" s="1"/>
  <c r="F30" i="5"/>
  <c r="B32" i="5"/>
  <c r="E31" i="5"/>
  <c r="A31" i="5"/>
  <c r="C31" i="5"/>
  <c r="D29" i="5"/>
  <c r="I29" i="5" s="1"/>
  <c r="G29" i="5"/>
  <c r="J31" i="4"/>
  <c r="I31" i="4"/>
  <c r="K31" i="4"/>
  <c r="B33" i="5" l="1"/>
  <c r="E32" i="5"/>
  <c r="A32" i="5"/>
  <c r="C32" i="5"/>
  <c r="D30" i="5"/>
  <c r="I30" i="5" s="1"/>
  <c r="G30" i="5"/>
  <c r="H31" i="5"/>
  <c r="H33" i="4" s="1"/>
  <c r="F31" i="5"/>
  <c r="G31" i="5" s="1"/>
  <c r="J32" i="4"/>
  <c r="I32" i="4"/>
  <c r="K32" i="4"/>
  <c r="I33" i="4" l="1"/>
  <c r="J33" i="4"/>
  <c r="K33" i="4"/>
  <c r="H32" i="5"/>
  <c r="H34" i="4" s="1"/>
  <c r="F32" i="5"/>
  <c r="G32" i="5" s="1"/>
  <c r="B34" i="5"/>
  <c r="E33" i="5"/>
  <c r="A33" i="5"/>
  <c r="C33" i="5"/>
  <c r="D31" i="5"/>
  <c r="I31" i="5" s="1"/>
  <c r="H33" i="5" l="1"/>
  <c r="H35" i="4" s="1"/>
  <c r="F33" i="5"/>
  <c r="G33" i="5" s="1"/>
  <c r="B35" i="5"/>
  <c r="A34" i="5"/>
  <c r="E34" i="5"/>
  <c r="C34" i="5"/>
  <c r="D32" i="5"/>
  <c r="I32" i="5" s="1"/>
  <c r="J34" i="4"/>
  <c r="I34" i="4"/>
  <c r="K34" i="4"/>
  <c r="H34" i="5" l="1"/>
  <c r="H36" i="4" s="1"/>
  <c r="F34" i="5"/>
  <c r="G34" i="5" s="1"/>
  <c r="B36" i="5"/>
  <c r="A35" i="5"/>
  <c r="E35" i="5"/>
  <c r="C35" i="5"/>
  <c r="D33" i="5"/>
  <c r="I33" i="5" s="1"/>
  <c r="J35" i="4"/>
  <c r="I35" i="4"/>
  <c r="K35" i="4"/>
  <c r="H35" i="5" l="1"/>
  <c r="H37" i="4" s="1"/>
  <c r="F35" i="5"/>
  <c r="G35" i="5" s="1"/>
  <c r="B37" i="5"/>
  <c r="A36" i="5"/>
  <c r="E36" i="5"/>
  <c r="C36" i="5"/>
  <c r="D34" i="5"/>
  <c r="I34" i="5" s="1"/>
  <c r="J36" i="4"/>
  <c r="I36" i="4"/>
  <c r="K36" i="4"/>
  <c r="H36" i="5" l="1"/>
  <c r="H38" i="4" s="1"/>
  <c r="F36" i="5"/>
  <c r="G36" i="5" s="1"/>
  <c r="B38" i="5"/>
  <c r="A37" i="5"/>
  <c r="E37" i="5"/>
  <c r="C37" i="5"/>
  <c r="D35" i="5"/>
  <c r="I35" i="5" s="1"/>
  <c r="J37" i="4"/>
  <c r="I37" i="4"/>
  <c r="K37" i="4"/>
  <c r="B39" i="5" l="1"/>
  <c r="E38" i="5"/>
  <c r="A38" i="5"/>
  <c r="C38" i="5"/>
  <c r="D36" i="5"/>
  <c r="I36" i="5" s="1"/>
  <c r="H37" i="5"/>
  <c r="H39" i="4" s="1"/>
  <c r="F37" i="5"/>
  <c r="G37" i="5" s="1"/>
  <c r="I38" i="4"/>
  <c r="J38" i="4"/>
  <c r="K38" i="4"/>
  <c r="J39" i="4" l="1"/>
  <c r="I39" i="4"/>
  <c r="K39" i="4"/>
  <c r="H38" i="5"/>
  <c r="H40" i="4" s="1"/>
  <c r="F38" i="5"/>
  <c r="G38" i="5" s="1"/>
  <c r="B40" i="5"/>
  <c r="E39" i="5"/>
  <c r="A39" i="5"/>
  <c r="C39" i="5"/>
  <c r="D37" i="5"/>
  <c r="I37" i="5" s="1"/>
  <c r="H39" i="5" l="1"/>
  <c r="H41" i="4" s="1"/>
  <c r="F39" i="5"/>
  <c r="G39" i="5" s="1"/>
  <c r="B41" i="5"/>
  <c r="E40" i="5"/>
  <c r="A40" i="5"/>
  <c r="C40" i="5"/>
  <c r="D38" i="5"/>
  <c r="I38" i="5" s="1"/>
  <c r="I40" i="4"/>
  <c r="J40" i="4"/>
  <c r="K40" i="4"/>
  <c r="F40" i="5" l="1"/>
  <c r="G40" i="5" s="1"/>
  <c r="H40" i="5"/>
  <c r="H42" i="4" s="1"/>
  <c r="B42" i="5"/>
  <c r="E41" i="5"/>
  <c r="A41" i="5"/>
  <c r="C41" i="5"/>
  <c r="D39" i="5"/>
  <c r="I39" i="5" s="1"/>
  <c r="I41" i="4"/>
  <c r="J41" i="4"/>
  <c r="K41" i="4"/>
  <c r="F41" i="5" l="1"/>
  <c r="G41" i="5" s="1"/>
  <c r="H41" i="5"/>
  <c r="H43" i="4" s="1"/>
  <c r="B43" i="5"/>
  <c r="E42" i="5"/>
  <c r="A42" i="5"/>
  <c r="C42" i="5"/>
  <c r="D40" i="5"/>
  <c r="I40" i="5" s="1"/>
  <c r="I42" i="4"/>
  <c r="J42" i="4"/>
  <c r="K42" i="4"/>
  <c r="B44" i="5" l="1"/>
  <c r="E43" i="5"/>
  <c r="A43" i="5"/>
  <c r="C43" i="5"/>
  <c r="D41" i="5"/>
  <c r="I41" i="5" s="1"/>
  <c r="J43" i="4"/>
  <c r="I43" i="4"/>
  <c r="K43" i="4"/>
  <c r="F42" i="5"/>
  <c r="G42" i="5" s="1"/>
  <c r="H42" i="5"/>
  <c r="H44" i="4" s="1"/>
  <c r="J44" i="4" l="1"/>
  <c r="I44" i="4"/>
  <c r="K44" i="4"/>
  <c r="F43" i="5"/>
  <c r="G43" i="5" s="1"/>
  <c r="H43" i="5"/>
  <c r="H45" i="4" s="1"/>
  <c r="B45" i="5"/>
  <c r="A44" i="5"/>
  <c r="E44" i="5"/>
  <c r="C44" i="5"/>
  <c r="D42" i="5"/>
  <c r="I42" i="5" s="1"/>
  <c r="B46" i="5" l="1"/>
  <c r="E45" i="5"/>
  <c r="A45" i="5"/>
  <c r="C45" i="5"/>
  <c r="D43" i="5"/>
  <c r="I43" i="5" s="1"/>
  <c r="I45" i="4"/>
  <c r="J45" i="4"/>
  <c r="K45" i="4"/>
  <c r="F44" i="5"/>
  <c r="G44" i="5" s="1"/>
  <c r="H44" i="5"/>
  <c r="H46" i="4" s="1"/>
  <c r="F45" i="5" l="1"/>
  <c r="G45" i="5" s="1"/>
  <c r="H45" i="5"/>
  <c r="H47" i="4" s="1"/>
  <c r="J46" i="4"/>
  <c r="I46" i="4"/>
  <c r="K46" i="4"/>
  <c r="A46" i="5"/>
  <c r="E46" i="5"/>
  <c r="B47" i="5"/>
  <c r="C46" i="5"/>
  <c r="D44" i="5"/>
  <c r="I44" i="5" s="1"/>
  <c r="F46" i="5" l="1"/>
  <c r="G46" i="5" s="1"/>
  <c r="H46" i="5"/>
  <c r="H48" i="4" s="1"/>
  <c r="I47" i="4"/>
  <c r="J47" i="4"/>
  <c r="K47" i="4"/>
  <c r="E47" i="5"/>
  <c r="B48" i="5"/>
  <c r="A47" i="5"/>
  <c r="C47" i="5"/>
  <c r="D45" i="5"/>
  <c r="I45" i="5" s="1"/>
  <c r="F47" i="5" l="1"/>
  <c r="G47" i="5" s="1"/>
  <c r="H47" i="5"/>
  <c r="H49" i="4" s="1"/>
  <c r="J48" i="4"/>
  <c r="I48" i="4"/>
  <c r="K48" i="4"/>
  <c r="E48" i="5"/>
  <c r="B49" i="5"/>
  <c r="A48" i="5"/>
  <c r="C48" i="5"/>
  <c r="D46" i="5"/>
  <c r="I46" i="5" s="1"/>
  <c r="E49" i="5" l="1"/>
  <c r="B50" i="5"/>
  <c r="A49" i="5"/>
  <c r="C49" i="5"/>
  <c r="D47" i="5"/>
  <c r="I47" i="5" s="1"/>
  <c r="I49" i="4"/>
  <c r="J49" i="4"/>
  <c r="K49" i="4"/>
  <c r="H48" i="5"/>
  <c r="H50" i="4" s="1"/>
  <c r="F48" i="5"/>
  <c r="G48" i="5" s="1"/>
  <c r="J50" i="4" l="1"/>
  <c r="I50" i="4"/>
  <c r="K50" i="4"/>
  <c r="E50" i="5"/>
  <c r="B51" i="5"/>
  <c r="A50" i="5"/>
  <c r="C50" i="5"/>
  <c r="D48" i="5"/>
  <c r="I48" i="5" s="1"/>
  <c r="H49" i="5"/>
  <c r="H51" i="4" s="1"/>
  <c r="F49" i="5"/>
  <c r="G49" i="5" s="1"/>
  <c r="B52" i="5" l="1"/>
  <c r="E51" i="5"/>
  <c r="A51" i="5"/>
  <c r="C51" i="5"/>
  <c r="D49" i="5"/>
  <c r="I49" i="5" s="1"/>
  <c r="J51" i="4"/>
  <c r="I51" i="4"/>
  <c r="K51" i="4"/>
  <c r="H50" i="5"/>
  <c r="H52" i="4" s="1"/>
  <c r="F50" i="5"/>
  <c r="G50" i="5" s="1"/>
  <c r="J52" i="4" l="1"/>
  <c r="I52" i="4"/>
  <c r="K52" i="4"/>
  <c r="H51" i="5"/>
  <c r="H53" i="4" s="1"/>
  <c r="F51" i="5"/>
  <c r="G51" i="5" s="1"/>
  <c r="B53" i="5"/>
  <c r="A52" i="5"/>
  <c r="E52" i="5"/>
  <c r="C52" i="5"/>
  <c r="D50" i="5"/>
  <c r="I50" i="5" s="1"/>
  <c r="H52" i="5" l="1"/>
  <c r="H54" i="4" s="1"/>
  <c r="F52" i="5"/>
  <c r="G52" i="5" s="1"/>
  <c r="B54" i="5"/>
  <c r="E53" i="5"/>
  <c r="A53" i="5"/>
  <c r="C53" i="5"/>
  <c r="D51" i="5"/>
  <c r="I51" i="5" s="1"/>
  <c r="J53" i="4"/>
  <c r="I53" i="4"/>
  <c r="K53" i="4"/>
  <c r="F53" i="5" l="1"/>
  <c r="G53" i="5" s="1"/>
  <c r="H53" i="5"/>
  <c r="H55" i="4" s="1"/>
  <c r="B55" i="5"/>
  <c r="E54" i="5"/>
  <c r="A54" i="5"/>
  <c r="C54" i="5"/>
  <c r="D52" i="5"/>
  <c r="I52" i="5" s="1"/>
  <c r="J54" i="4"/>
  <c r="I54" i="4"/>
  <c r="K54" i="4"/>
  <c r="H54" i="5" l="1"/>
  <c r="H56" i="4" s="1"/>
  <c r="F54" i="5"/>
  <c r="G54" i="5" s="1"/>
  <c r="I55" i="4"/>
  <c r="J55" i="4"/>
  <c r="K55" i="4"/>
  <c r="B56" i="5"/>
  <c r="A55" i="5"/>
  <c r="E55" i="5"/>
  <c r="C55" i="5"/>
  <c r="D53" i="5"/>
  <c r="I53" i="5" s="1"/>
  <c r="H55" i="5" l="1"/>
  <c r="H57" i="4" s="1"/>
  <c r="F55" i="5"/>
  <c r="G55" i="5" s="1"/>
  <c r="B57" i="5"/>
  <c r="E56" i="5"/>
  <c r="A56" i="5"/>
  <c r="C56" i="5"/>
  <c r="D54" i="5"/>
  <c r="I54" i="5" s="1"/>
  <c r="I56" i="4"/>
  <c r="J56" i="4"/>
  <c r="K56" i="4"/>
  <c r="F56" i="5" l="1"/>
  <c r="G56" i="5" s="1"/>
  <c r="H56" i="5"/>
  <c r="H58" i="4" s="1"/>
  <c r="B58" i="5"/>
  <c r="E57" i="5"/>
  <c r="A57" i="5"/>
  <c r="C57" i="5"/>
  <c r="D55" i="5"/>
  <c r="I55" i="5" s="1"/>
  <c r="J57" i="4"/>
  <c r="I57" i="4"/>
  <c r="K57" i="4"/>
  <c r="J58" i="4" l="1"/>
  <c r="I58" i="4"/>
  <c r="K58" i="4"/>
  <c r="H57" i="5"/>
  <c r="H59" i="4" s="1"/>
  <c r="F57" i="5"/>
  <c r="G57" i="5" s="1"/>
  <c r="B59" i="5"/>
  <c r="E58" i="5"/>
  <c r="A58" i="5"/>
  <c r="C58" i="5"/>
  <c r="D56" i="5"/>
  <c r="I56" i="5" s="1"/>
  <c r="F58" i="5" l="1"/>
  <c r="G58" i="5" s="1"/>
  <c r="H58" i="5"/>
  <c r="H60" i="4" s="1"/>
  <c r="B60" i="5"/>
  <c r="E59" i="5"/>
  <c r="A59" i="5"/>
  <c r="C59" i="5"/>
  <c r="D59" i="5"/>
  <c r="D57" i="5"/>
  <c r="I57" i="5" s="1"/>
  <c r="I59" i="4"/>
  <c r="J59" i="4"/>
  <c r="K59" i="4"/>
  <c r="F59" i="5" l="1"/>
  <c r="G59" i="5" s="1"/>
  <c r="H59" i="5"/>
  <c r="H61" i="4" s="1"/>
  <c r="J60" i="4"/>
  <c r="I60" i="4"/>
  <c r="K60" i="4"/>
  <c r="I59" i="5"/>
  <c r="E60" i="5"/>
  <c r="A60" i="5"/>
  <c r="C60" i="5"/>
  <c r="D61" i="5" s="1"/>
  <c r="D60" i="5"/>
  <c r="D58" i="5"/>
  <c r="I58" i="5" s="1"/>
  <c r="F60" i="5" l="1"/>
  <c r="H60" i="5"/>
  <c r="H62" i="4" s="1"/>
  <c r="J61" i="4"/>
  <c r="I61" i="4"/>
  <c r="K61" i="4"/>
  <c r="J62" i="4" l="1"/>
  <c r="I62" i="4"/>
  <c r="K62" i="4"/>
  <c r="G60" i="5"/>
  <c r="G61" i="5"/>
  <c r="H61" i="5"/>
  <c r="I60" i="5"/>
  <c r="H63" i="4" l="1"/>
  <c r="H64" i="4"/>
  <c r="H66" i="5"/>
  <c r="I61" i="5"/>
  <c r="I63" i="5" s="1"/>
  <c r="C66" i="5" s="1"/>
  <c r="I64" i="4" l="1"/>
  <c r="J64" i="4"/>
  <c r="K64" i="4"/>
  <c r="J63" i="4"/>
  <c r="K63" i="4"/>
  <c r="I63" i="4"/>
  <c r="J67" i="4" l="1"/>
  <c r="K67" i="4"/>
  <c r="I67" i="4"/>
  <c r="C11" i="4" s="1"/>
</calcChain>
</file>

<file path=xl/sharedStrings.xml><?xml version="1.0" encoding="utf-8"?>
<sst xmlns="http://schemas.openxmlformats.org/spreadsheetml/2006/main" count="101" uniqueCount="82">
  <si>
    <t xml:space="preserve"> Summary statistics of Mexican Brady Bonds - Historical Weekly Returns</t>
  </si>
  <si>
    <t xml:space="preserve">Par </t>
  </si>
  <si>
    <t>Discount</t>
  </si>
  <si>
    <t>State Variable</t>
  </si>
  <si>
    <t xml:space="preserve">Mean </t>
  </si>
  <si>
    <t>STDV</t>
  </si>
  <si>
    <r>
      <rPr>
        <sz val="18"/>
        <color theme="1"/>
        <rFont val="Calibri"/>
        <family val="2"/>
      </rPr>
      <t>ρ</t>
    </r>
    <r>
      <rPr>
        <sz val="11"/>
        <color theme="1"/>
        <rFont val="Calibri"/>
        <family val="2"/>
      </rPr>
      <t>par</t>
    </r>
  </si>
  <si>
    <t>November 6, 1996 Mexican Brady Bond Prices (Source: www.bradynet.com)</t>
  </si>
  <si>
    <t>PAR</t>
  </si>
  <si>
    <t>DISC</t>
  </si>
  <si>
    <t>Bid</t>
  </si>
  <si>
    <t xml:space="preserve">Ask </t>
  </si>
  <si>
    <t>Dura</t>
  </si>
  <si>
    <t xml:space="preserve">US Rate </t>
  </si>
  <si>
    <t>DVBP</t>
  </si>
  <si>
    <t>US Rate DBVP: The price rise (fall) of the bond for a 100 point shift downward in the US yield curve.</t>
  </si>
  <si>
    <t xml:space="preserve">Note: the state variable provides an estimate of country risk embedded in the bond - the higher the state value, the lower the risk of the bond. </t>
  </si>
  <si>
    <t>Mexico</t>
  </si>
  <si>
    <t>Venezuela</t>
  </si>
  <si>
    <t>Costa Rica</t>
  </si>
  <si>
    <t>Date</t>
  </si>
  <si>
    <t xml:space="preserve">Coupon </t>
  </si>
  <si>
    <t xml:space="preserve">YTM </t>
  </si>
  <si>
    <t>Maturity yrs</t>
  </si>
  <si>
    <t>Par</t>
  </si>
  <si>
    <t>Principal A</t>
  </si>
  <si>
    <t>Interest A</t>
  </si>
  <si>
    <t>Rolling Guarantee</t>
  </si>
  <si>
    <t>18 mo</t>
  </si>
  <si>
    <t>Libor + 13/16</t>
  </si>
  <si>
    <t>36 mo</t>
  </si>
  <si>
    <t>Conversion Rate</t>
  </si>
  <si>
    <t>14 mo</t>
  </si>
  <si>
    <t>Oil Price Recapture</t>
  </si>
  <si>
    <t>yes</t>
  </si>
  <si>
    <t>PV</t>
  </si>
  <si>
    <t>Face Value</t>
  </si>
  <si>
    <t>ST USD/?</t>
  </si>
  <si>
    <t>Price USD</t>
  </si>
  <si>
    <t>Coupon</t>
  </si>
  <si>
    <t>Principal</t>
  </si>
  <si>
    <t>T</t>
  </si>
  <si>
    <t>Par Bond</t>
  </si>
  <si>
    <t>T (years)</t>
  </si>
  <si>
    <t>Coupon (S.A.)</t>
  </si>
  <si>
    <t>RG (payments)</t>
  </si>
  <si>
    <t>YTM FC-10yr</t>
  </si>
  <si>
    <t>YTM US Gov.-30yr</t>
  </si>
  <si>
    <t>Country Spread</t>
  </si>
  <si>
    <t>T-t</t>
  </si>
  <si>
    <t>C/2</t>
  </si>
  <si>
    <t>PV_CF</t>
  </si>
  <si>
    <t>Prob of Default</t>
  </si>
  <si>
    <t>E[PV_CF]</t>
  </si>
  <si>
    <t>Sum of CFs</t>
  </si>
  <si>
    <t>E[NPV-Bond]</t>
  </si>
  <si>
    <t>Payment #</t>
  </si>
  <si>
    <t>Spread</t>
  </si>
  <si>
    <t>RG</t>
  </si>
  <si>
    <t>FV</t>
  </si>
  <si>
    <t>NPV</t>
  </si>
  <si>
    <t xml:space="preserve"> </t>
  </si>
  <si>
    <t>Prob adjustment</t>
  </si>
  <si>
    <t>C+RG</t>
  </si>
  <si>
    <t>Prob. of CF</t>
  </si>
  <si>
    <t>E[NPV]</t>
  </si>
  <si>
    <t>(1-Prob of D)</t>
  </si>
  <si>
    <t>Cum Prob of D at T</t>
  </si>
  <si>
    <t>Prob of CFs at T</t>
  </si>
  <si>
    <t>0 - ND</t>
  </si>
  <si>
    <t>E[NPV RG]</t>
  </si>
  <si>
    <t>E[NPV C]</t>
  </si>
  <si>
    <t>YTM MXP-30yr</t>
  </si>
  <si>
    <t>E[s_PPP]</t>
  </si>
  <si>
    <t>E[I_Mex]</t>
  </si>
  <si>
    <t>E[I_US]</t>
  </si>
  <si>
    <t>Bond</t>
  </si>
  <si>
    <t>&amp; 4 months</t>
  </si>
  <si>
    <t>Coupon (sa)</t>
  </si>
  <si>
    <t>YTM Mex-30yr</t>
  </si>
  <si>
    <t>YTM US-30yr</t>
  </si>
  <si>
    <t>Disc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</si>
</sst>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164" formatCode="0.000%"/>
    <numFmt numFmtId="165" formatCode="0.000"/>
    <numFmt numFmtId="166" formatCode="0.00000"/>
    <numFmt numFmtId="167" formatCode="0.000000"/>
    <numFmt numFmtId="168" formatCode="0.0000"/>
    <numFmt numFmtId="169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2" fontId="0" fillId="0" borderId="0" xfId="0" applyNumberFormat="1"/>
    <xf numFmtId="10" fontId="0" fillId="0" borderId="0" xfId="0" applyNumberFormat="1"/>
    <xf numFmtId="17" fontId="0" fillId="0" borderId="0" xfId="0" applyNumberFormat="1"/>
    <xf numFmtId="10" fontId="0" fillId="0" borderId="0" xfId="1" applyNumberFormat="1" applyFont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164" fontId="0" fillId="0" borderId="0" xfId="1" applyNumberFormat="1" applyFont="1"/>
    <xf numFmtId="165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0" xfId="0" applyNumberFormat="1"/>
    <xf numFmtId="169" fontId="0" fillId="0" borderId="0" xfId="1" applyNumberFormat="1" applyFont="1"/>
    <xf numFmtId="166" fontId="6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8" fontId="0" fillId="0" borderId="0" xfId="0" applyNumberFormat="1"/>
    <xf numFmtId="10" fontId="0" fillId="0" borderId="0" xfId="0" applyNumberFormat="1" applyBorder="1"/>
    <xf numFmtId="164" fontId="0" fillId="0" borderId="0" xfId="1" applyNumberFormat="1" applyFont="1" applyBorder="1"/>
    <xf numFmtId="8" fontId="0" fillId="0" borderId="0" xfId="0" applyNumberFormat="1" applyBorder="1"/>
    <xf numFmtId="165" fontId="0" fillId="0" borderId="0" xfId="1" applyNumberFormat="1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Fill="1" applyBorder="1"/>
    <xf numFmtId="168" fontId="6" fillId="0" borderId="0" xfId="0" applyNumberFormat="1" applyFont="1" applyBorder="1"/>
    <xf numFmtId="165" fontId="6" fillId="0" borderId="0" xfId="0" applyNumberFormat="1" applyFont="1" applyBorder="1"/>
    <xf numFmtId="165" fontId="5" fillId="0" borderId="0" xfId="0" applyNumberFormat="1" applyFont="1" applyFill="1" applyBorder="1"/>
    <xf numFmtId="0" fontId="5" fillId="0" borderId="0" xfId="0" applyFont="1" applyBorder="1"/>
    <xf numFmtId="2" fontId="5" fillId="0" borderId="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[1]Mexico!$E$12</c:f>
              <c:strCache>
                <c:ptCount val="1"/>
                <c:pt idx="0">
                  <c:v>Prob of Default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[1]Mexico!$A$13:$A$32</c:f>
              <c:numCache>
                <c:formatCode>General</c:formatCod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[1]Mexico!$E$13:$E$32</c:f>
              <c:numCache>
                <c:formatCode>General</c:formatCode>
                <c:ptCount val="20"/>
                <c:pt idx="0">
                  <c:v>3.4844749278987032E-3</c:v>
                </c:pt>
                <c:pt idx="1">
                  <c:v>8.152440795673243E-3</c:v>
                </c:pt>
                <c:pt idx="2">
                  <c:v>1.7258717299874101E-2</c:v>
                </c:pt>
                <c:pt idx="3">
                  <c:v>3.3059777644317306E-2</c:v>
                </c:pt>
                <c:pt idx="4">
                  <c:v>5.7300959372038024E-2</c:v>
                </c:pt>
                <c:pt idx="5">
                  <c:v>8.9865792823444313E-2</c:v>
                </c:pt>
                <c:pt idx="6">
                  <c:v>0.12752563032435468</c:v>
                </c:pt>
                <c:pt idx="7">
                  <c:v>0.16374615061559639</c:v>
                </c:pt>
                <c:pt idx="8">
                  <c:v>0.19024588490014283</c:v>
                </c:pt>
                <c:pt idx="9">
                  <c:v>0.2</c:v>
                </c:pt>
                <c:pt idx="10">
                  <c:v>0.19024588490014283</c:v>
                </c:pt>
                <c:pt idx="11">
                  <c:v>0.16374615061559639</c:v>
                </c:pt>
                <c:pt idx="12">
                  <c:v>0.12752563032435468</c:v>
                </c:pt>
                <c:pt idx="13">
                  <c:v>8.9865792823444313E-2</c:v>
                </c:pt>
                <c:pt idx="14">
                  <c:v>5.7300959372038024E-2</c:v>
                </c:pt>
                <c:pt idx="15">
                  <c:v>3.3059777644317306E-2</c:v>
                </c:pt>
                <c:pt idx="16">
                  <c:v>1.7258717299874101E-2</c:v>
                </c:pt>
                <c:pt idx="17">
                  <c:v>8.152440795673243E-3</c:v>
                </c:pt>
                <c:pt idx="18">
                  <c:v>3.4844749278987032E-3</c:v>
                </c:pt>
                <c:pt idx="19">
                  <c:v>1.3475893998170934E-3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C1-4828-96C9-C0329F5FB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782192"/>
        <c:axId val="223782584"/>
      </c:scatterChart>
      <c:valAx>
        <c:axId val="22378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(T-t)</a:t>
                </a:r>
                <a:r>
                  <a:rPr lang="en-US" baseline="0"/>
                  <a:t> Remaining Time to Maturity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5158902012248456"/>
              <c:y val="0.8740507436570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82584"/>
        <c:crosses val="autoZero"/>
        <c:crossBetween val="midCat"/>
      </c:valAx>
      <c:valAx>
        <c:axId val="22378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82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[1]Mexico!$E$12</c:f>
              <c:strCache>
                <c:ptCount val="1"/>
                <c:pt idx="0">
                  <c:v>Prob of Default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[1]Mexico!$A$13:$A$32</c:f>
              <c:numCache>
                <c:formatCode>General</c:formatCod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[1]Mexico!$E$13:$E$32</c:f>
              <c:numCache>
                <c:formatCode>General</c:formatCode>
                <c:ptCount val="20"/>
                <c:pt idx="0">
                  <c:v>3.4844749278987032E-3</c:v>
                </c:pt>
                <c:pt idx="1">
                  <c:v>8.152440795673243E-3</c:v>
                </c:pt>
                <c:pt idx="2">
                  <c:v>1.7258717299874101E-2</c:v>
                </c:pt>
                <c:pt idx="3">
                  <c:v>3.3059777644317306E-2</c:v>
                </c:pt>
                <c:pt idx="4">
                  <c:v>5.7300959372038024E-2</c:v>
                </c:pt>
                <c:pt idx="5">
                  <c:v>8.9865792823444313E-2</c:v>
                </c:pt>
                <c:pt idx="6">
                  <c:v>0.12752563032435468</c:v>
                </c:pt>
                <c:pt idx="7">
                  <c:v>0.16374615061559639</c:v>
                </c:pt>
                <c:pt idx="8">
                  <c:v>0.19024588490014283</c:v>
                </c:pt>
                <c:pt idx="9">
                  <c:v>0.2</c:v>
                </c:pt>
                <c:pt idx="10">
                  <c:v>0.19024588490014283</c:v>
                </c:pt>
                <c:pt idx="11">
                  <c:v>0.16374615061559639</c:v>
                </c:pt>
                <c:pt idx="12">
                  <c:v>0.12752563032435468</c:v>
                </c:pt>
                <c:pt idx="13">
                  <c:v>8.9865792823444313E-2</c:v>
                </c:pt>
                <c:pt idx="14">
                  <c:v>5.7300959372038024E-2</c:v>
                </c:pt>
                <c:pt idx="15">
                  <c:v>3.3059777644317306E-2</c:v>
                </c:pt>
                <c:pt idx="16">
                  <c:v>1.7258717299874101E-2</c:v>
                </c:pt>
                <c:pt idx="17">
                  <c:v>8.152440795673243E-3</c:v>
                </c:pt>
                <c:pt idx="18">
                  <c:v>3.4844749278987032E-3</c:v>
                </c:pt>
                <c:pt idx="19">
                  <c:v>1.3475893998170934E-3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C1-4828-96C9-C0329F5FB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783368"/>
        <c:axId val="223783760"/>
      </c:scatterChart>
      <c:valAx>
        <c:axId val="22378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(T-t)</a:t>
                </a:r>
                <a:r>
                  <a:rPr lang="en-US" baseline="0"/>
                  <a:t> Remaining Time to Maturity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5158902012248456"/>
              <c:y val="0.8740507436570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83760"/>
        <c:crosses val="autoZero"/>
        <c:crossBetween val="midCat"/>
      </c:valAx>
      <c:valAx>
        <c:axId val="22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83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9</xdr:row>
      <xdr:rowOff>76200</xdr:rowOff>
    </xdr:from>
    <xdr:to>
      <xdr:col>14</xdr:col>
      <xdr:colOff>739775</xdr:colOff>
      <xdr:row>24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657225</xdr:colOff>
      <xdr:row>9</xdr:row>
      <xdr:rowOff>76200</xdr:rowOff>
    </xdr:from>
    <xdr:to>
      <xdr:col>14</xdr:col>
      <xdr:colOff>739775</xdr:colOff>
      <xdr:row>24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M\workbook%20-b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. of Default"/>
      <sheetName val="Mexico"/>
      <sheetName val="Venezuela"/>
      <sheetName val="Costa Rican"/>
      <sheetName val="Q4"/>
      <sheetName val="Sheet1"/>
    </sheetNames>
    <sheetDataSet>
      <sheetData sheetId="0"/>
      <sheetData sheetId="1">
        <row r="12">
          <cell r="E12" t="str">
            <v>Prob of Default</v>
          </cell>
        </row>
        <row r="13">
          <cell r="A13">
            <v>19</v>
          </cell>
          <cell r="E13">
            <v>3.4844749278987032E-3</v>
          </cell>
        </row>
        <row r="14">
          <cell r="A14">
            <v>18</v>
          </cell>
          <cell r="E14">
            <v>8.152440795673243E-3</v>
          </cell>
        </row>
        <row r="15">
          <cell r="A15">
            <v>17</v>
          </cell>
          <cell r="E15">
            <v>1.7258717299874101E-2</v>
          </cell>
        </row>
        <row r="16">
          <cell r="A16">
            <v>16</v>
          </cell>
          <cell r="E16">
            <v>3.3059777644317306E-2</v>
          </cell>
        </row>
        <row r="17">
          <cell r="A17">
            <v>15</v>
          </cell>
          <cell r="E17">
            <v>5.7300959372038024E-2</v>
          </cell>
        </row>
        <row r="18">
          <cell r="A18">
            <v>14</v>
          </cell>
          <cell r="E18">
            <v>8.9865792823444313E-2</v>
          </cell>
        </row>
        <row r="19">
          <cell r="A19">
            <v>13</v>
          </cell>
          <cell r="E19">
            <v>0.12752563032435468</v>
          </cell>
        </row>
        <row r="20">
          <cell r="A20">
            <v>12</v>
          </cell>
          <cell r="E20">
            <v>0.16374615061559639</v>
          </cell>
        </row>
        <row r="21">
          <cell r="A21">
            <v>11</v>
          </cell>
          <cell r="E21">
            <v>0.19024588490014283</v>
          </cell>
        </row>
        <row r="22">
          <cell r="A22">
            <v>10</v>
          </cell>
          <cell r="E22">
            <v>0.2</v>
          </cell>
        </row>
        <row r="23">
          <cell r="A23">
            <v>9</v>
          </cell>
          <cell r="E23">
            <v>0.19024588490014283</v>
          </cell>
        </row>
        <row r="24">
          <cell r="A24">
            <v>8</v>
          </cell>
          <cell r="E24">
            <v>0.16374615061559639</v>
          </cell>
        </row>
        <row r="25">
          <cell r="A25">
            <v>7</v>
          </cell>
          <cell r="E25">
            <v>0.12752563032435468</v>
          </cell>
        </row>
        <row r="26">
          <cell r="A26">
            <v>6</v>
          </cell>
          <cell r="E26">
            <v>8.9865792823444313E-2</v>
          </cell>
        </row>
        <row r="27">
          <cell r="A27">
            <v>5</v>
          </cell>
          <cell r="E27">
            <v>5.7300959372038024E-2</v>
          </cell>
        </row>
        <row r="28">
          <cell r="A28">
            <v>4</v>
          </cell>
          <cell r="E28">
            <v>3.3059777644317306E-2</v>
          </cell>
        </row>
        <row r="29">
          <cell r="A29">
            <v>3</v>
          </cell>
          <cell r="E29">
            <v>1.7258717299874101E-2</v>
          </cell>
        </row>
        <row r="30">
          <cell r="A30">
            <v>2</v>
          </cell>
          <cell r="E30">
            <v>8.152440795673243E-3</v>
          </cell>
        </row>
        <row r="31">
          <cell r="A31">
            <v>1</v>
          </cell>
          <cell r="E31">
            <v>3.4844749278987032E-3</v>
          </cell>
        </row>
        <row r="32">
          <cell r="A32">
            <v>0</v>
          </cell>
          <cell r="E32">
            <v>1.3475893998170934E-3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22" sqref="A22"/>
    </sheetView>
  </sheetViews>
  <sheetFormatPr defaultRowHeight="15" x14ac:dyDescent="0.25"/>
  <sheetData>
    <row r="1" spans="1:6" x14ac:dyDescent="0.25">
      <c r="A1" t="s">
        <v>0</v>
      </c>
    </row>
    <row r="3" spans="1:6" ht="15" customHeight="1" x14ac:dyDescent="0.35">
      <c r="C3" t="s">
        <v>4</v>
      </c>
      <c r="D3" t="s">
        <v>5</v>
      </c>
      <c r="E3" s="1" t="s">
        <v>6</v>
      </c>
    </row>
    <row r="4" spans="1:6" x14ac:dyDescent="0.25">
      <c r="A4" t="s">
        <v>1</v>
      </c>
      <c r="C4">
        <v>1.4859999999999999E-3</v>
      </c>
      <c r="D4">
        <v>2.3939999999999999E-2</v>
      </c>
      <c r="E4" s="2">
        <v>1</v>
      </c>
    </row>
    <row r="5" spans="1:6" x14ac:dyDescent="0.25">
      <c r="A5" t="s">
        <v>2</v>
      </c>
      <c r="C5">
        <v>5.4500000000000002E-4</v>
      </c>
      <c r="D5">
        <v>2.53E-2</v>
      </c>
      <c r="E5">
        <v>0.76</v>
      </c>
    </row>
    <row r="6" spans="1:6" x14ac:dyDescent="0.25">
      <c r="A6" t="s">
        <v>3</v>
      </c>
      <c r="C6">
        <v>1.2099999999999999E-3</v>
      </c>
      <c r="D6">
        <v>0.11895</v>
      </c>
      <c r="E6">
        <v>0.71</v>
      </c>
    </row>
    <row r="9" spans="1:6" x14ac:dyDescent="0.25">
      <c r="A9" t="s">
        <v>7</v>
      </c>
    </row>
    <row r="11" spans="1:6" x14ac:dyDescent="0.25">
      <c r="C11" t="s">
        <v>10</v>
      </c>
      <c r="D11" t="s">
        <v>11</v>
      </c>
      <c r="E11" t="s">
        <v>12</v>
      </c>
      <c r="F11" t="s">
        <v>13</v>
      </c>
    </row>
    <row r="12" spans="1:6" x14ac:dyDescent="0.25">
      <c r="F12" t="s">
        <v>14</v>
      </c>
    </row>
    <row r="13" spans="1:6" x14ac:dyDescent="0.25">
      <c r="A13" t="s">
        <v>8</v>
      </c>
      <c r="C13">
        <v>71.5</v>
      </c>
      <c r="D13">
        <v>71.75</v>
      </c>
      <c r="E13">
        <v>5.95</v>
      </c>
      <c r="F13">
        <v>8.48</v>
      </c>
    </row>
    <row r="14" spans="1:6" x14ac:dyDescent="0.25">
      <c r="A14" t="s">
        <v>9</v>
      </c>
      <c r="C14">
        <v>83.38</v>
      </c>
      <c r="D14">
        <v>83.62</v>
      </c>
      <c r="E14">
        <v>6.23</v>
      </c>
      <c r="F14">
        <v>2.61</v>
      </c>
    </row>
    <row r="17" spans="1:10" x14ac:dyDescent="0.25">
      <c r="A17" t="s">
        <v>15</v>
      </c>
    </row>
    <row r="19" spans="1:10" x14ac:dyDescent="0.25">
      <c r="A19" t="s">
        <v>16</v>
      </c>
    </row>
    <row r="21" spans="1:10" x14ac:dyDescent="0.25">
      <c r="A21" t="s">
        <v>76</v>
      </c>
    </row>
    <row r="22" spans="1:10" x14ac:dyDescent="0.25">
      <c r="C22" t="s">
        <v>17</v>
      </c>
      <c r="F22" t="s">
        <v>18</v>
      </c>
      <c r="I22" t="s">
        <v>19</v>
      </c>
    </row>
    <row r="23" spans="1:10" x14ac:dyDescent="0.25">
      <c r="C23" t="s">
        <v>24</v>
      </c>
      <c r="D23" t="s">
        <v>2</v>
      </c>
      <c r="F23" t="s">
        <v>24</v>
      </c>
      <c r="G23" t="s">
        <v>2</v>
      </c>
      <c r="I23" t="s">
        <v>25</v>
      </c>
      <c r="J23" t="s">
        <v>26</v>
      </c>
    </row>
    <row r="24" spans="1:10" x14ac:dyDescent="0.25">
      <c r="A24" t="s">
        <v>20</v>
      </c>
      <c r="C24" s="6">
        <v>32933</v>
      </c>
      <c r="D24" s="6">
        <v>32933</v>
      </c>
      <c r="E24" s="4"/>
      <c r="F24" s="6">
        <v>33208</v>
      </c>
      <c r="G24" s="6">
        <v>33208</v>
      </c>
      <c r="H24" s="4"/>
      <c r="I24" s="6">
        <v>32994</v>
      </c>
      <c r="J24" s="6">
        <v>32994</v>
      </c>
    </row>
    <row r="25" spans="1:10" x14ac:dyDescent="0.25">
      <c r="A25" t="s">
        <v>23</v>
      </c>
      <c r="C25" s="7">
        <v>30</v>
      </c>
      <c r="D25" s="7">
        <v>30</v>
      </c>
      <c r="F25" s="7">
        <v>30</v>
      </c>
      <c r="G25" s="7">
        <v>30</v>
      </c>
      <c r="I25" s="7">
        <v>20</v>
      </c>
      <c r="J25" s="7">
        <v>15</v>
      </c>
    </row>
    <row r="26" spans="1:10" x14ac:dyDescent="0.25">
      <c r="A26" t="s">
        <v>38</v>
      </c>
      <c r="C26" s="7">
        <v>40</v>
      </c>
      <c r="D26" s="7">
        <v>60</v>
      </c>
      <c r="F26" s="7">
        <v>50</v>
      </c>
      <c r="G26" s="7">
        <v>70</v>
      </c>
      <c r="I26" s="7"/>
      <c r="J26" s="7"/>
    </row>
    <row r="27" spans="1:10" x14ac:dyDescent="0.25">
      <c r="A27" t="s">
        <v>36</v>
      </c>
      <c r="C27" s="7">
        <v>100</v>
      </c>
      <c r="D27" s="7">
        <v>100</v>
      </c>
      <c r="F27" s="7">
        <v>100</v>
      </c>
      <c r="G27" s="7">
        <v>100</v>
      </c>
      <c r="I27" s="7">
        <v>100</v>
      </c>
      <c r="J27" s="7">
        <v>100</v>
      </c>
    </row>
    <row r="28" spans="1:10" x14ac:dyDescent="0.25">
      <c r="A28" t="s">
        <v>21</v>
      </c>
      <c r="C28" s="8">
        <v>6.25E-2</v>
      </c>
      <c r="D28" s="7" t="s">
        <v>29</v>
      </c>
      <c r="F28" s="8">
        <v>6.7500000000000004E-2</v>
      </c>
      <c r="G28" s="7"/>
      <c r="I28" s="8">
        <v>6.25E-2</v>
      </c>
      <c r="J28" s="7" t="s">
        <v>29</v>
      </c>
    </row>
    <row r="29" spans="1:10" x14ac:dyDescent="0.25">
      <c r="A29" t="s">
        <v>35</v>
      </c>
      <c r="C29" s="9">
        <f>C27/(1+C28)^C25</f>
        <v>16.223025033191753</v>
      </c>
      <c r="D29" s="7"/>
      <c r="F29" s="9">
        <f>F27/(1+F28)^F25</f>
        <v>14.091703252235909</v>
      </c>
      <c r="G29" s="7"/>
      <c r="I29" s="9">
        <f>I27/(1+I28)^I25</f>
        <v>29.745496716483114</v>
      </c>
      <c r="J29" s="7"/>
    </row>
    <row r="30" spans="1:10" x14ac:dyDescent="0.25">
      <c r="A30" t="s">
        <v>37</v>
      </c>
      <c r="C30" s="7"/>
      <c r="D30" s="7"/>
      <c r="F30" s="7"/>
      <c r="G30" s="7"/>
      <c r="I30" s="7"/>
      <c r="J30" s="7"/>
    </row>
    <row r="31" spans="1:10" x14ac:dyDescent="0.25">
      <c r="A31" t="s">
        <v>22</v>
      </c>
      <c r="C31" s="8">
        <f>C28</f>
        <v>6.25E-2</v>
      </c>
      <c r="D31" s="7"/>
      <c r="F31" s="8">
        <f>F28</f>
        <v>6.7500000000000004E-2</v>
      </c>
      <c r="G31" s="7"/>
      <c r="I31" s="8">
        <f>I28</f>
        <v>6.25E-2</v>
      </c>
      <c r="J31" s="7"/>
    </row>
    <row r="32" spans="1:10" x14ac:dyDescent="0.25">
      <c r="A32" t="s">
        <v>27</v>
      </c>
      <c r="C32" s="7" t="s">
        <v>28</v>
      </c>
      <c r="D32" s="7" t="s">
        <v>28</v>
      </c>
      <c r="F32" s="7" t="s">
        <v>32</v>
      </c>
      <c r="G32" s="7" t="s">
        <v>32</v>
      </c>
      <c r="I32" s="7" t="s">
        <v>28</v>
      </c>
      <c r="J32" s="7" t="s">
        <v>30</v>
      </c>
    </row>
    <row r="33" spans="1:10" x14ac:dyDescent="0.25">
      <c r="A33" t="s">
        <v>31</v>
      </c>
      <c r="C33" s="7">
        <v>1</v>
      </c>
      <c r="D33" s="7">
        <v>0.65</v>
      </c>
      <c r="F33" s="7">
        <v>1</v>
      </c>
      <c r="G33" s="9">
        <v>0.7</v>
      </c>
      <c r="I33" s="7"/>
      <c r="J33" s="7"/>
    </row>
    <row r="34" spans="1:10" x14ac:dyDescent="0.25">
      <c r="A34" t="s">
        <v>33</v>
      </c>
      <c r="C34" s="7" t="s">
        <v>34</v>
      </c>
      <c r="D34" s="7" t="s">
        <v>34</v>
      </c>
      <c r="F34" s="7" t="s">
        <v>34</v>
      </c>
      <c r="G34" s="7" t="s">
        <v>34</v>
      </c>
      <c r="I34" s="7"/>
      <c r="J34" s="7"/>
    </row>
    <row r="35" spans="1:10" x14ac:dyDescent="0.25">
      <c r="D3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A4" zoomScaleNormal="100" zoomScaleSheetLayoutView="95" workbookViewId="0">
      <selection activeCell="H16" sqref="H16"/>
    </sheetView>
  </sheetViews>
  <sheetFormatPr defaultRowHeight="15" x14ac:dyDescent="0.25"/>
  <cols>
    <col min="1" max="1" width="7.5703125" style="10" customWidth="1"/>
    <col min="2" max="2" width="12" style="10" customWidth="1"/>
    <col min="3" max="3" width="9.140625" style="10" customWidth="1"/>
    <col min="4" max="4" width="10.28515625" style="10" customWidth="1"/>
    <col min="5" max="5" width="9.140625" style="10" customWidth="1"/>
    <col min="6" max="6" width="8.7109375" style="10" customWidth="1"/>
    <col min="7" max="7" width="5.140625" style="10" customWidth="1"/>
    <col min="8" max="8" width="10.5703125" style="10" customWidth="1"/>
    <col min="9" max="9" width="10" style="10" customWidth="1"/>
    <col min="10" max="10" width="9.28515625" style="10" customWidth="1"/>
    <col min="11" max="11" width="8.42578125" style="10" customWidth="1"/>
    <col min="12" max="15" width="9.140625" style="10"/>
  </cols>
  <sheetData>
    <row r="1" spans="1:17" x14ac:dyDescent="0.25">
      <c r="B1" s="10" t="s">
        <v>42</v>
      </c>
    </row>
    <row r="2" spans="1:17" x14ac:dyDescent="0.25">
      <c r="B2" s="10" t="s">
        <v>59</v>
      </c>
      <c r="C2" s="10">
        <v>100</v>
      </c>
    </row>
    <row r="3" spans="1:17" x14ac:dyDescent="0.25">
      <c r="B3" s="10" t="s">
        <v>41</v>
      </c>
      <c r="C3" s="10">
        <v>48</v>
      </c>
      <c r="D3" s="10" t="s">
        <v>77</v>
      </c>
    </row>
    <row r="4" spans="1:17" x14ac:dyDescent="0.25">
      <c r="B4" s="10" t="s">
        <v>39</v>
      </c>
      <c r="C4" s="30">
        <v>6.25E-2</v>
      </c>
    </row>
    <row r="5" spans="1:17" x14ac:dyDescent="0.25">
      <c r="B5" s="10" t="s">
        <v>78</v>
      </c>
      <c r="C5" s="31">
        <f>C4/2</f>
        <v>3.125E-2</v>
      </c>
      <c r="E5" s="10" t="s">
        <v>72</v>
      </c>
      <c r="F5" s="30">
        <v>0.28599999999999998</v>
      </c>
      <c r="K5" s="32"/>
    </row>
    <row r="6" spans="1:17" x14ac:dyDescent="0.25">
      <c r="B6" s="10" t="s">
        <v>58</v>
      </c>
      <c r="C6" s="33">
        <f>C5*C2/(1+C8/2)^1+C5*C2/(1+C8/2)^2+C5*C2/(1+C8/2)^3</f>
        <v>8.7970938518174684</v>
      </c>
      <c r="E6" s="10" t="s">
        <v>74</v>
      </c>
      <c r="F6" s="30">
        <v>0.15</v>
      </c>
      <c r="K6" s="32"/>
    </row>
    <row r="7" spans="1:17" x14ac:dyDescent="0.25">
      <c r="B7" s="10" t="s">
        <v>79</v>
      </c>
      <c r="C7" s="30">
        <f>C8+F8</f>
        <v>0.155</v>
      </c>
      <c r="D7" s="30"/>
      <c r="E7" s="10" t="s">
        <v>75</v>
      </c>
      <c r="F7" s="30">
        <v>0.06</v>
      </c>
      <c r="K7" s="30"/>
      <c r="L7" s="30"/>
    </row>
    <row r="8" spans="1:17" x14ac:dyDescent="0.25">
      <c r="B8" s="10" t="s">
        <v>80</v>
      </c>
      <c r="C8" s="30">
        <v>6.5000000000000002E-2</v>
      </c>
      <c r="E8" s="10" t="s">
        <v>73</v>
      </c>
      <c r="F8" s="30">
        <f>F6-F7</f>
        <v>0.09</v>
      </c>
      <c r="K8" s="30"/>
    </row>
    <row r="9" spans="1:17" x14ac:dyDescent="0.25">
      <c r="B9" s="10" t="s">
        <v>57</v>
      </c>
      <c r="C9" s="30">
        <f>C7-C8</f>
        <v>0.09</v>
      </c>
      <c r="K9" s="30"/>
    </row>
    <row r="10" spans="1:17" x14ac:dyDescent="0.25">
      <c r="C10" s="30"/>
      <c r="D10" s="30"/>
      <c r="O10" s="30"/>
    </row>
    <row r="11" spans="1:17" x14ac:dyDescent="0.25">
      <c r="B11" s="42" t="s">
        <v>60</v>
      </c>
      <c r="C11" s="43">
        <f>(I67)/(1+C8*4/12)+(J67)/(1+C7*4/12)</f>
        <v>53.761820603558377</v>
      </c>
      <c r="D11" s="34"/>
      <c r="N11" s="34"/>
      <c r="O11" s="34"/>
      <c r="Q11" t="s">
        <v>61</v>
      </c>
    </row>
    <row r="12" spans="1:17" x14ac:dyDescent="0.25">
      <c r="B12" s="10" t="s">
        <v>62</v>
      </c>
      <c r="C12" s="34">
        <v>4</v>
      </c>
      <c r="D12" s="34"/>
      <c r="N12" s="34"/>
      <c r="O12" s="34"/>
    </row>
    <row r="13" spans="1:17" x14ac:dyDescent="0.25">
      <c r="D13" s="10" t="s">
        <v>61</v>
      </c>
    </row>
    <row r="14" spans="1:17" x14ac:dyDescent="0.25">
      <c r="A14" s="10" t="s">
        <v>41</v>
      </c>
      <c r="B14" s="10" t="s">
        <v>56</v>
      </c>
      <c r="C14" s="35" t="s">
        <v>50</v>
      </c>
      <c r="D14" s="35" t="s">
        <v>81</v>
      </c>
      <c r="E14" s="35" t="s">
        <v>58</v>
      </c>
      <c r="F14" s="35" t="s">
        <v>63</v>
      </c>
      <c r="G14" s="35"/>
      <c r="H14" s="35" t="s">
        <v>64</v>
      </c>
      <c r="I14" s="35" t="s">
        <v>70</v>
      </c>
      <c r="J14" s="35" t="s">
        <v>71</v>
      </c>
      <c r="K14" s="35" t="s">
        <v>65</v>
      </c>
    </row>
    <row r="15" spans="1:17" x14ac:dyDescent="0.25">
      <c r="A15" s="10">
        <f>1996+11/12</f>
        <v>1996.9166666666667</v>
      </c>
      <c r="B15" s="34">
        <v>0</v>
      </c>
      <c r="C15" s="36">
        <f>$C$5*$C$2*4/12</f>
        <v>1.0416666666666667</v>
      </c>
      <c r="D15" s="37">
        <f>C15/(1+C$7/2)^B15</f>
        <v>1.0416666666666667</v>
      </c>
      <c r="E15" s="36">
        <f>C15/(1+C$8/2)^B15+C16/(1+C$8/2)^B16+C17/(1+C$8/2)^B17</f>
        <v>6.9996660686682031</v>
      </c>
      <c r="F15" s="36">
        <f>0/(1+C$7/2)^B15+E15</f>
        <v>6.9996660686682031</v>
      </c>
      <c r="G15" s="37"/>
      <c r="H15" s="20">
        <f>'Binomial Probabilities'!$H13</f>
        <v>1.0083520519381958E-3</v>
      </c>
      <c r="I15" s="36">
        <f>E15*H15</f>
        <v>7.0581276432237468E-3</v>
      </c>
      <c r="J15" s="36">
        <v>0</v>
      </c>
      <c r="K15" s="36">
        <f>F15*H15</f>
        <v>7.0581276432237468E-3</v>
      </c>
    </row>
    <row r="16" spans="1:17" x14ac:dyDescent="0.25">
      <c r="A16" s="10">
        <v>1997</v>
      </c>
      <c r="B16" s="34">
        <f>B15+1</f>
        <v>1</v>
      </c>
      <c r="C16" s="10">
        <f t="shared" ref="C16:C64" si="0">$C$5*$C$2</f>
        <v>3.125</v>
      </c>
      <c r="D16" s="37">
        <f>C16/(1+C$7/2)^B16</f>
        <v>2.9002320185614852</v>
      </c>
      <c r="E16" s="36">
        <f>C16/(1+C$8/2)^B16+C17/(1+C$8/2)^B17+C18/(1+C$8/2)^B18</f>
        <v>8.7970938518174684</v>
      </c>
      <c r="F16" s="36">
        <f>SUM(D$15:D15)+E16</f>
        <v>9.8387605184841345</v>
      </c>
      <c r="G16" s="37"/>
      <c r="H16" s="20">
        <f>'Binomial Probabilities'!$H14</f>
        <v>1.5798161914831463E-3</v>
      </c>
      <c r="I16" s="36">
        <f t="shared" ref="I16:I64" si="1">E16*H16</f>
        <v>1.3897791305098075E-2</v>
      </c>
      <c r="J16" s="36">
        <f>SUM(D$15:D15)*H16</f>
        <v>1.6456418661282776E-3</v>
      </c>
      <c r="K16" s="36">
        <f>F16*H16</f>
        <v>1.5543433171226351E-2</v>
      </c>
    </row>
    <row r="17" spans="1:11" x14ac:dyDescent="0.25">
      <c r="A17" s="10">
        <f>A16+0.5</f>
        <v>1997.5</v>
      </c>
      <c r="B17" s="34">
        <f t="shared" ref="B17:B63" si="2">B16+1</f>
        <v>2</v>
      </c>
      <c r="C17" s="10">
        <f t="shared" si="0"/>
        <v>3.125</v>
      </c>
      <c r="D17" s="37">
        <f t="shared" ref="D17:D62" si="3">C17/(1+C$7/2)^B17</f>
        <v>2.6916306436765525</v>
      </c>
      <c r="E17" s="36">
        <f t="shared" ref="E17:E61" si="4">C17/(1+C$8/2)^B17+C18/(1+C$8/2)^B18+C19/(1+C$8/2)^B19</f>
        <v>8.5201877499442791</v>
      </c>
      <c r="F17" s="36">
        <f>SUM(D$15:D16)+E17</f>
        <v>12.462086435172431</v>
      </c>
      <c r="G17" s="37"/>
      <c r="H17" s="20">
        <f>'Binomial Probabilities'!$H15</f>
        <v>2.4247437366736657E-3</v>
      </c>
      <c r="I17" s="36">
        <f t="shared" si="1"/>
        <v>2.0659271881961084E-2</v>
      </c>
      <c r="J17" s="36">
        <f>SUM(D$15:D16)*H17</f>
        <v>9.558094147609119E-3</v>
      </c>
      <c r="K17" s="36">
        <f t="shared" ref="K17:K62" si="5">F17*H17</f>
        <v>3.0217366029570203E-2</v>
      </c>
    </row>
    <row r="18" spans="1:11" x14ac:dyDescent="0.25">
      <c r="A18" s="10">
        <f t="shared" ref="A18:A63" si="6">A17+0.5</f>
        <v>1998</v>
      </c>
      <c r="B18" s="34">
        <f t="shared" si="2"/>
        <v>3</v>
      </c>
      <c r="C18" s="10">
        <f t="shared" si="0"/>
        <v>3.125</v>
      </c>
      <c r="D18" s="37">
        <f t="shared" si="3"/>
        <v>2.4980330799782391</v>
      </c>
      <c r="E18" s="36">
        <f t="shared" si="4"/>
        <v>8.2519978207692795</v>
      </c>
      <c r="F18" s="36">
        <f>SUM(D$15:D17)+E18</f>
        <v>14.885527149673983</v>
      </c>
      <c r="G18" s="37"/>
      <c r="H18" s="20">
        <f>'Binomial Probabilities'!$H16</f>
        <v>3.6447648406251502E-3</v>
      </c>
      <c r="I18" s="36">
        <f t="shared" si="1"/>
        <v>3.0076591522055229E-2</v>
      </c>
      <c r="J18" s="36">
        <f>SUM(D$15:D17)*H18</f>
        <v>2.4177654467247612E-2</v>
      </c>
      <c r="K18" s="36">
        <f t="shared" si="5"/>
        <v>5.4254245989302841E-2</v>
      </c>
    </row>
    <row r="19" spans="1:11" x14ac:dyDescent="0.25">
      <c r="A19" s="10">
        <f t="shared" si="6"/>
        <v>1998.5</v>
      </c>
      <c r="B19" s="34">
        <f t="shared" si="2"/>
        <v>4</v>
      </c>
      <c r="C19" s="10">
        <f t="shared" si="0"/>
        <v>3.125</v>
      </c>
      <c r="D19" s="37">
        <f t="shared" si="3"/>
        <v>2.3183601670331688</v>
      </c>
      <c r="E19" s="36">
        <f t="shared" si="4"/>
        <v>7.9922497053455483</v>
      </c>
      <c r="F19" s="36">
        <f>SUM(D$15:D18)+E19</f>
        <v>17.123812114228492</v>
      </c>
      <c r="G19" s="37"/>
      <c r="H19" s="20">
        <f>'Binomial Probabilities'!$H17</f>
        <v>5.3635281437555884E-3</v>
      </c>
      <c r="I19" s="36">
        <f t="shared" si="1"/>
        <v>4.2866656226543155E-2</v>
      </c>
      <c r="J19" s="36">
        <f>SUM(D$15:D18)*H19</f>
        <v>4.8977391976504234E-2</v>
      </c>
      <c r="K19" s="36">
        <f t="shared" si="5"/>
        <v>9.184404820304741E-2</v>
      </c>
    </row>
    <row r="20" spans="1:11" x14ac:dyDescent="0.25">
      <c r="A20" s="10">
        <f t="shared" si="6"/>
        <v>1999</v>
      </c>
      <c r="B20" s="34">
        <f t="shared" si="2"/>
        <v>5</v>
      </c>
      <c r="C20" s="10">
        <f t="shared" si="0"/>
        <v>3.125</v>
      </c>
      <c r="D20" s="37">
        <f t="shared" si="3"/>
        <v>2.1516103638358879</v>
      </c>
      <c r="E20" s="36">
        <f t="shared" si="4"/>
        <v>7.7406776807220812</v>
      </c>
      <c r="F20" s="36">
        <f>SUM(D$15:D19)+E20</f>
        <v>19.190600256638191</v>
      </c>
      <c r="G20" s="37"/>
      <c r="H20" s="20">
        <f>'Binomial Probabilities'!$H18</f>
        <v>7.7229540197193882E-3</v>
      </c>
      <c r="I20" s="36">
        <f t="shared" si="1"/>
        <v>5.9780897809684749E-2</v>
      </c>
      <c r="J20" s="36">
        <f>SUM(D$15:D19)*H20</f>
        <v>8.8427225583147112E-2</v>
      </c>
      <c r="K20" s="36">
        <f t="shared" si="5"/>
        <v>0.14820812339283185</v>
      </c>
    </row>
    <row r="21" spans="1:11" x14ac:dyDescent="0.25">
      <c r="A21" s="10">
        <f t="shared" si="6"/>
        <v>1999.5</v>
      </c>
      <c r="B21" s="34">
        <f t="shared" si="2"/>
        <v>6</v>
      </c>
      <c r="C21" s="10">
        <f t="shared" si="0"/>
        <v>3.125</v>
      </c>
      <c r="D21" s="37">
        <f t="shared" si="3"/>
        <v>1.9968541659729819</v>
      </c>
      <c r="E21" s="36">
        <f t="shared" si="4"/>
        <v>7.497024388108553</v>
      </c>
      <c r="F21" s="36">
        <f>SUM(D$15:D20)+E21</f>
        <v>21.098557327860554</v>
      </c>
      <c r="G21" s="37"/>
      <c r="H21" s="20">
        <f>'Binomial Probabilities'!$H19</f>
        <v>1.087355092174391E-2</v>
      </c>
      <c r="I21" s="36">
        <f t="shared" si="1"/>
        <v>8.1519276445654321E-2</v>
      </c>
      <c r="J21" s="36">
        <f>SUM(D$15:D20)*H21</f>
        <v>0.14789696103417049</v>
      </c>
      <c r="K21" s="36">
        <f t="shared" si="5"/>
        <v>0.22941623747982484</v>
      </c>
    </row>
    <row r="22" spans="1:11" x14ac:dyDescent="0.25">
      <c r="A22" s="10">
        <f t="shared" si="6"/>
        <v>2000</v>
      </c>
      <c r="B22" s="34">
        <f t="shared" si="2"/>
        <v>7</v>
      </c>
      <c r="C22" s="10">
        <f t="shared" si="0"/>
        <v>3.125</v>
      </c>
      <c r="D22" s="37">
        <f t="shared" si="3"/>
        <v>1.8532289243368743</v>
      </c>
      <c r="E22" s="36">
        <f t="shared" si="4"/>
        <v>7.2610405695966618</v>
      </c>
      <c r="F22" s="36">
        <f>SUM(D$15:D21)+E22</f>
        <v>22.859427675321644</v>
      </c>
      <c r="G22" s="37"/>
      <c r="H22" s="20">
        <f>'Binomial Probabilities'!$H20</f>
        <v>1.4956647369033257E-2</v>
      </c>
      <c r="I22" s="36">
        <f t="shared" si="1"/>
        <v>0.10860082333170165</v>
      </c>
      <c r="J22" s="36">
        <f>SUM(D$15:D21)*H22</f>
        <v>0.23329957546600383</v>
      </c>
      <c r="K22" s="36">
        <f t="shared" si="5"/>
        <v>0.34190039879770551</v>
      </c>
    </row>
    <row r="23" spans="1:11" x14ac:dyDescent="0.25">
      <c r="A23" s="10">
        <f t="shared" si="6"/>
        <v>2000.5</v>
      </c>
      <c r="B23" s="34">
        <f t="shared" si="2"/>
        <v>8</v>
      </c>
      <c r="C23" s="10">
        <f t="shared" si="0"/>
        <v>3.125</v>
      </c>
      <c r="D23" s="37">
        <f t="shared" si="3"/>
        <v>1.7199340365075402</v>
      </c>
      <c r="E23" s="36">
        <f t="shared" si="4"/>
        <v>7.0324848131686792</v>
      </c>
      <c r="F23" s="36">
        <f>SUM(D$15:D22)+E23</f>
        <v>24.484100843230536</v>
      </c>
      <c r="G23" s="37"/>
      <c r="H23" s="20">
        <f>'Binomial Probabilities'!$H21</f>
        <v>2.0076984839210634E-2</v>
      </c>
      <c r="I23" s="36">
        <f t="shared" si="1"/>
        <v>0.1411910909759666</v>
      </c>
      <c r="J23" s="36">
        <f>SUM(D$15:D22)*H23</f>
        <v>0.35037583045527715</v>
      </c>
      <c r="K23" s="36">
        <f t="shared" si="5"/>
        <v>0.49156692143124375</v>
      </c>
    </row>
    <row r="24" spans="1:11" x14ac:dyDescent="0.25">
      <c r="A24" s="10">
        <f t="shared" si="6"/>
        <v>2001</v>
      </c>
      <c r="B24" s="34">
        <f t="shared" si="2"/>
        <v>9</v>
      </c>
      <c r="C24" s="10">
        <f t="shared" si="0"/>
        <v>3.125</v>
      </c>
      <c r="D24" s="37">
        <f t="shared" si="3"/>
        <v>1.5962264839977172</v>
      </c>
      <c r="E24" s="36">
        <f t="shared" si="4"/>
        <v>6.8111233057323766</v>
      </c>
      <c r="F24" s="36">
        <f>SUM(D$15:D23)+E24</f>
        <v>25.982673372301772</v>
      </c>
      <c r="G24" s="37"/>
      <c r="H24" s="20">
        <f>'Binomial Probabilities'!$H22</f>
        <v>2.626583193953036E-2</v>
      </c>
      <c r="I24" s="36">
        <f t="shared" si="1"/>
        <v>0.17889982006778507</v>
      </c>
      <c r="J24" s="36">
        <f>SUM(D$15:D23)*H24</f>
        <v>0.50355671206880381</v>
      </c>
      <c r="K24" s="36">
        <f t="shared" si="5"/>
        <v>0.68245653213658886</v>
      </c>
    </row>
    <row r="25" spans="1:11" x14ac:dyDescent="0.25">
      <c r="A25" s="10">
        <f t="shared" si="6"/>
        <v>2001.5</v>
      </c>
      <c r="B25" s="34">
        <f t="shared" si="2"/>
        <v>10</v>
      </c>
      <c r="C25" s="10">
        <f t="shared" si="0"/>
        <v>3.125</v>
      </c>
      <c r="D25" s="37">
        <f t="shared" si="3"/>
        <v>1.4814166904851205</v>
      </c>
      <c r="E25" s="36">
        <f t="shared" si="4"/>
        <v>6.5967295939296635</v>
      </c>
      <c r="F25" s="36">
        <f>SUM(D$15:D24)+E25</f>
        <v>27.364506144496776</v>
      </c>
      <c r="G25" s="37"/>
      <c r="H25" s="20">
        <f>'Binomial Probabilities'!$H23</f>
        <v>3.3437994348366272E-2</v>
      </c>
      <c r="I25" s="36">
        <f t="shared" si="1"/>
        <v>0.22058140687952063</v>
      </c>
      <c r="J25" s="36">
        <f>SUM(D$15:D24)*H25</f>
        <v>0.69443279492599674</v>
      </c>
      <c r="K25" s="36">
        <f t="shared" si="5"/>
        <v>0.91501420180551729</v>
      </c>
    </row>
    <row r="26" spans="1:11" x14ac:dyDescent="0.25">
      <c r="A26" s="10">
        <f t="shared" si="6"/>
        <v>2002</v>
      </c>
      <c r="B26" s="34">
        <f t="shared" si="2"/>
        <v>11</v>
      </c>
      <c r="C26" s="10">
        <f t="shared" si="0"/>
        <v>3.125</v>
      </c>
      <c r="D26" s="37">
        <f t="shared" si="3"/>
        <v>1.3748646779444273</v>
      </c>
      <c r="E26" s="36">
        <f t="shared" si="4"/>
        <v>6.3890843524742502</v>
      </c>
      <c r="F26" s="36">
        <f>SUM(D$15:D25)+E26</f>
        <v>28.638277593526482</v>
      </c>
      <c r="G26" s="37"/>
      <c r="H26" s="20">
        <f>'Binomial Probabilities'!$H24</f>
        <v>4.1350756815206578E-2</v>
      </c>
      <c r="I26" s="36">
        <f t="shared" si="1"/>
        <v>0.26419347333100429</v>
      </c>
      <c r="J26" s="36">
        <f>SUM(D$15:D25)*H26</f>
        <v>0.92002097904528879</v>
      </c>
      <c r="K26" s="36">
        <f t="shared" si="5"/>
        <v>1.184214452376293</v>
      </c>
    </row>
    <row r="27" spans="1:11" x14ac:dyDescent="0.25">
      <c r="A27" s="10">
        <f t="shared" si="6"/>
        <v>2002.5</v>
      </c>
      <c r="B27" s="34">
        <f t="shared" si="2"/>
        <v>12</v>
      </c>
      <c r="C27" s="10">
        <f t="shared" si="0"/>
        <v>3.125</v>
      </c>
      <c r="D27" s="37">
        <f t="shared" si="3"/>
        <v>1.275976499252369</v>
      </c>
      <c r="E27" s="36">
        <f t="shared" si="4"/>
        <v>6.1879751597813568</v>
      </c>
      <c r="F27" s="36">
        <f>SUM(D$15:D26)+E27</f>
        <v>29.812033078778015</v>
      </c>
      <c r="G27" s="37"/>
      <c r="H27" s="20">
        <f>'Binomial Probabilities'!$H25</f>
        <v>4.9577926301278122E-2</v>
      </c>
      <c r="I27" s="36">
        <f t="shared" si="1"/>
        <v>0.30678697642577984</v>
      </c>
      <c r="J27" s="36">
        <f>SUM(D$15:D26)*H27</f>
        <v>1.1712318024451422</v>
      </c>
      <c r="K27" s="36">
        <f t="shared" si="5"/>
        <v>1.4780187788709218</v>
      </c>
    </row>
    <row r="28" spans="1:11" x14ac:dyDescent="0.25">
      <c r="A28" s="10">
        <f t="shared" si="6"/>
        <v>2003</v>
      </c>
      <c r="B28" s="34">
        <f t="shared" si="2"/>
        <v>13</v>
      </c>
      <c r="C28" s="10">
        <f t="shared" si="0"/>
        <v>3.125</v>
      </c>
      <c r="D28" s="37">
        <f t="shared" si="3"/>
        <v>1.1842009273803891</v>
      </c>
      <c r="E28" s="36">
        <f t="shared" si="4"/>
        <v>5.9931962806599106</v>
      </c>
      <c r="F28" s="36">
        <f>SUM(D$15:D27)+E28</f>
        <v>30.893230698908937</v>
      </c>
      <c r="G28" s="37"/>
      <c r="H28" s="20">
        <f>'Binomial Probabilities'!$H26</f>
        <v>5.7515459971608562E-2</v>
      </c>
      <c r="I28" s="36">
        <f t="shared" si="1"/>
        <v>0.34470144078228843</v>
      </c>
      <c r="J28" s="36">
        <f>SUM(D$15:D27)*H28</f>
        <v>1.4321369328744775</v>
      </c>
      <c r="K28" s="36">
        <f t="shared" si="5"/>
        <v>1.7768383736567657</v>
      </c>
    </row>
    <row r="29" spans="1:11" x14ac:dyDescent="0.25">
      <c r="A29" s="10">
        <f t="shared" si="6"/>
        <v>2003.5</v>
      </c>
      <c r="B29" s="34">
        <f t="shared" si="2"/>
        <v>14</v>
      </c>
      <c r="C29" s="10">
        <f t="shared" si="0"/>
        <v>3.125</v>
      </c>
      <c r="D29" s="37">
        <f t="shared" si="3"/>
        <v>1.0990263827196187</v>
      </c>
      <c r="E29" s="36">
        <f t="shared" si="4"/>
        <v>5.8045484558449489</v>
      </c>
      <c r="F29" s="36">
        <f>SUM(D$15:D28)+E29</f>
        <v>31.888783801474364</v>
      </c>
      <c r="G29" s="37"/>
      <c r="H29" s="20">
        <f>'Binomial Probabilities'!$H27</f>
        <v>6.4433303569560854E-2</v>
      </c>
      <c r="I29" s="36">
        <f t="shared" si="1"/>
        <v>0.37400623273968331</v>
      </c>
      <c r="J29" s="36">
        <f>SUM(D$15:D28)*H29</f>
        <v>1.6806934544048093</v>
      </c>
      <c r="K29" s="36">
        <f t="shared" si="5"/>
        <v>2.0546996871444927</v>
      </c>
    </row>
    <row r="30" spans="1:11" x14ac:dyDescent="0.25">
      <c r="A30" s="10">
        <f t="shared" si="6"/>
        <v>2004</v>
      </c>
      <c r="B30" s="34">
        <f t="shared" si="2"/>
        <v>15</v>
      </c>
      <c r="C30" s="10">
        <f t="shared" si="0"/>
        <v>3.125</v>
      </c>
      <c r="D30" s="37">
        <f t="shared" si="3"/>
        <v>1.0199780814103192</v>
      </c>
      <c r="E30" s="36">
        <f t="shared" si="4"/>
        <v>5.6218386981549138</v>
      </c>
      <c r="F30" s="36">
        <f>SUM(D$15:D29)+E30</f>
        <v>32.805100426503948</v>
      </c>
      <c r="G30" s="37"/>
      <c r="H30" s="20">
        <f>'Binomial Probabilities'!$H28</f>
        <v>6.9578068741939225E-2</v>
      </c>
      <c r="I30" s="36">
        <f t="shared" si="1"/>
        <v>0.39115667939631671</v>
      </c>
      <c r="J30" s="36">
        <f>SUM(D$15:D29)*H30</f>
        <v>1.8913588531651948</v>
      </c>
      <c r="K30" s="36">
        <f t="shared" si="5"/>
        <v>2.2825155325615114</v>
      </c>
    </row>
    <row r="31" spans="1:11" x14ac:dyDescent="0.25">
      <c r="A31" s="10">
        <f t="shared" si="6"/>
        <v>2004.5</v>
      </c>
      <c r="B31" s="34">
        <f t="shared" si="2"/>
        <v>16</v>
      </c>
      <c r="C31" s="10">
        <f t="shared" si="0"/>
        <v>3.125</v>
      </c>
      <c r="D31" s="37">
        <f t="shared" si="3"/>
        <v>0.94661538877987861</v>
      </c>
      <c r="E31" s="36">
        <f t="shared" si="4"/>
        <v>5.444880095065292</v>
      </c>
      <c r="F31" s="36">
        <f>SUM(D$15:D30)+E31</f>
        <v>33.648119904824647</v>
      </c>
      <c r="G31" s="37"/>
      <c r="H31" s="20">
        <f>'Binomial Probabilities'!$H29</f>
        <v>7.2313110533749447E-2</v>
      </c>
      <c r="I31" s="36">
        <f t="shared" si="1"/>
        <v>0.39373621615746868</v>
      </c>
      <c r="J31" s="36">
        <f>SUM(D$15:D30)*H31</f>
        <v>2.0394639977729709</v>
      </c>
      <c r="K31" s="36">
        <f t="shared" si="5"/>
        <v>2.4332002139304394</v>
      </c>
    </row>
    <row r="32" spans="1:11" x14ac:dyDescent="0.25">
      <c r="A32" s="10">
        <f t="shared" si="6"/>
        <v>2005</v>
      </c>
      <c r="B32" s="34">
        <f t="shared" si="2"/>
        <v>17</v>
      </c>
      <c r="C32" s="10">
        <f t="shared" si="0"/>
        <v>3.125</v>
      </c>
      <c r="D32" s="37">
        <f t="shared" si="3"/>
        <v>0.87852936313677832</v>
      </c>
      <c r="E32" s="36">
        <f t="shared" si="4"/>
        <v>5.2734916174966511</v>
      </c>
      <c r="F32" s="36">
        <f>SUM(D$15:D31)+E32</f>
        <v>34.423346816035881</v>
      </c>
      <c r="G32" s="37"/>
      <c r="H32" s="20">
        <f>'Binomial Probabilities'!$H30</f>
        <v>7.2261993705533614E-2</v>
      </c>
      <c r="I32" s="36">
        <f t="shared" si="1"/>
        <v>0.38107301806972727</v>
      </c>
      <c r="J32" s="36">
        <f>SUM(D$15:D31)*H32</f>
        <v>2.1064266528740583</v>
      </c>
      <c r="K32" s="36">
        <f t="shared" si="5"/>
        <v>2.4874996709437855</v>
      </c>
    </row>
    <row r="33" spans="1:11" x14ac:dyDescent="0.25">
      <c r="A33" s="10">
        <f t="shared" si="6"/>
        <v>2005.5</v>
      </c>
      <c r="B33" s="34">
        <f t="shared" si="2"/>
        <v>18</v>
      </c>
      <c r="C33" s="10">
        <f t="shared" si="0"/>
        <v>3.125</v>
      </c>
      <c r="D33" s="37">
        <f t="shared" si="3"/>
        <v>0.81534047622902872</v>
      </c>
      <c r="E33" s="36">
        <f t="shared" si="4"/>
        <v>5.1074979346214544</v>
      </c>
      <c r="F33" s="36">
        <f>SUM(D$15:D32)+E33</f>
        <v>35.135882496297462</v>
      </c>
      <c r="G33" s="37"/>
      <c r="H33" s="20">
        <f>'Binomial Probabilities'!$H31</f>
        <v>6.940893944429008E-2</v>
      </c>
      <c r="I33" s="36">
        <f t="shared" si="1"/>
        <v>0.35450601485597716</v>
      </c>
      <c r="J33" s="36">
        <f>SUM(D$15:D32)*H33</f>
        <v>2.0842383256512251</v>
      </c>
      <c r="K33" s="36">
        <f t="shared" si="5"/>
        <v>2.4387443405072022</v>
      </c>
    </row>
    <row r="34" spans="1:11" x14ac:dyDescent="0.25">
      <c r="A34" s="10">
        <f t="shared" si="6"/>
        <v>2006</v>
      </c>
      <c r="B34" s="34">
        <f t="shared" si="2"/>
        <v>19</v>
      </c>
      <c r="C34" s="10">
        <f t="shared" si="0"/>
        <v>3.125</v>
      </c>
      <c r="D34" s="37">
        <f t="shared" si="3"/>
        <v>0.75669649766035141</v>
      </c>
      <c r="E34" s="36">
        <f t="shared" si="4"/>
        <v>4.9467292345001974</v>
      </c>
      <c r="F34" s="36">
        <f>SUM(D$15:D33)+E34</f>
        <v>35.790454272405235</v>
      </c>
      <c r="G34" s="37"/>
      <c r="H34" s="20">
        <f>'Binomial Probabilities'!$H32</f>
        <v>6.4116197269957681E-2</v>
      </c>
      <c r="I34" s="36">
        <f t="shared" si="1"/>
        <v>0.3171654674402814</v>
      </c>
      <c r="J34" s="36">
        <f>SUM(D$15:D33)*H34</f>
        <v>1.9775823590706525</v>
      </c>
      <c r="K34" s="36">
        <f t="shared" si="5"/>
        <v>2.2947478265109336</v>
      </c>
    </row>
    <row r="35" spans="1:11" x14ac:dyDescent="0.25">
      <c r="A35" s="10">
        <f t="shared" si="6"/>
        <v>2006.5</v>
      </c>
      <c r="B35" s="34">
        <f t="shared" si="2"/>
        <v>20</v>
      </c>
      <c r="C35" s="10">
        <f t="shared" si="0"/>
        <v>3.125</v>
      </c>
      <c r="D35" s="37">
        <f t="shared" si="3"/>
        <v>0.70227053147132401</v>
      </c>
      <c r="E35" s="36">
        <f t="shared" si="4"/>
        <v>4.791021050363387</v>
      </c>
      <c r="F35" s="36">
        <f>SUM(D$15:D34)+E35</f>
        <v>36.391442585928772</v>
      </c>
      <c r="G35" s="37"/>
      <c r="H35" s="20">
        <f>'Binomial Probabilities'!$H33</f>
        <v>5.7045587689735604E-2</v>
      </c>
      <c r="I35" s="36">
        <f t="shared" si="1"/>
        <v>0.27330661145187379</v>
      </c>
      <c r="J35" s="36">
        <f>SUM(D$15:D34)*H35</f>
        <v>1.8026646177397048</v>
      </c>
      <c r="K35" s="36">
        <f t="shared" si="5"/>
        <v>2.0759712291915782</v>
      </c>
    </row>
    <row r="36" spans="1:11" x14ac:dyDescent="0.25">
      <c r="A36" s="10">
        <f t="shared" si="6"/>
        <v>2007</v>
      </c>
      <c r="B36" s="34">
        <f t="shared" si="2"/>
        <v>21</v>
      </c>
      <c r="C36" s="10">
        <f t="shared" si="0"/>
        <v>3.125</v>
      </c>
      <c r="D36" s="37">
        <f t="shared" si="3"/>
        <v>0.65175919394090398</v>
      </c>
      <c r="E36" s="36">
        <f t="shared" si="4"/>
        <v>4.6402140923616342</v>
      </c>
      <c r="F36" s="36">
        <f>SUM(D$15:D35)+E36</f>
        <v>36.942906159398341</v>
      </c>
      <c r="G36" s="37"/>
      <c r="H36" s="20">
        <f>'Binomial Probabilities'!$H34</f>
        <v>4.9008617873495815E-2</v>
      </c>
      <c r="I36" s="36">
        <f t="shared" si="1"/>
        <v>0.22741047930376154</v>
      </c>
      <c r="J36" s="36">
        <f>SUM(D$15:D35)*H36</f>
        <v>1.5831102917986066</v>
      </c>
      <c r="K36" s="36">
        <f t="shared" si="5"/>
        <v>1.8105207711023681</v>
      </c>
    </row>
    <row r="37" spans="1:11" x14ac:dyDescent="0.25">
      <c r="A37" s="10">
        <f t="shared" si="6"/>
        <v>2007.5</v>
      </c>
      <c r="B37" s="34">
        <f t="shared" si="2"/>
        <v>22</v>
      </c>
      <c r="C37" s="10">
        <f t="shared" si="0"/>
        <v>3.125</v>
      </c>
      <c r="D37" s="37">
        <f t="shared" si="3"/>
        <v>0.60488092245095504</v>
      </c>
      <c r="E37" s="36">
        <f t="shared" si="4"/>
        <v>4.4941540846117523</v>
      </c>
      <c r="F37" s="36">
        <f>SUM(D$15:D36)+E37</f>
        <v>37.448605345589364</v>
      </c>
      <c r="G37" s="37"/>
      <c r="H37" s="20">
        <f>'Binomial Probabilities'!$H35</f>
        <v>4.0796957694952916E-2</v>
      </c>
      <c r="I37" s="36">
        <f t="shared" si="1"/>
        <v>0.18334781406450551</v>
      </c>
      <c r="J37" s="36">
        <f>SUM(D$15:D36)*H37</f>
        <v>1.3444413539544915</v>
      </c>
      <c r="K37" s="36">
        <f t="shared" si="5"/>
        <v>1.527789168018997</v>
      </c>
    </row>
    <row r="38" spans="1:11" x14ac:dyDescent="0.25">
      <c r="A38" s="10">
        <f t="shared" si="6"/>
        <v>2008</v>
      </c>
      <c r="B38" s="34">
        <f t="shared" si="2"/>
        <v>23</v>
      </c>
      <c r="C38" s="10">
        <f t="shared" si="0"/>
        <v>3.125</v>
      </c>
      <c r="D38" s="37">
        <f t="shared" si="3"/>
        <v>0.56137440598696531</v>
      </c>
      <c r="E38" s="36">
        <f t="shared" si="4"/>
        <v>4.3526916073721571</v>
      </c>
      <c r="F38" s="36">
        <f>SUM(D$15:D37)+E38</f>
        <v>37.912023790800724</v>
      </c>
      <c r="G38" s="37"/>
      <c r="H38" s="20">
        <f>'Binomial Probabilities'!$H36</f>
        <v>3.3047582397322348E-2</v>
      </c>
      <c r="I38" s="36">
        <f t="shared" si="1"/>
        <v>0.14384593454476483</v>
      </c>
      <c r="J38" s="36">
        <f>SUM(D$15:D37)*H38</f>
        <v>1.1090547955309673</v>
      </c>
      <c r="K38" s="36">
        <f t="shared" si="5"/>
        <v>1.252900730075732</v>
      </c>
    </row>
    <row r="39" spans="1:11" x14ac:dyDescent="0.25">
      <c r="A39" s="10">
        <f t="shared" si="6"/>
        <v>2008.5</v>
      </c>
      <c r="B39" s="34">
        <f t="shared" si="2"/>
        <v>24</v>
      </c>
      <c r="C39" s="10">
        <f t="shared" si="0"/>
        <v>3.125</v>
      </c>
      <c r="D39" s="37">
        <f t="shared" si="3"/>
        <v>0.52099712852618585</v>
      </c>
      <c r="E39" s="36">
        <f t="shared" si="4"/>
        <v>4.2156819441861089</v>
      </c>
      <c r="F39" s="36">
        <f>SUM(D$15:D38)+E39</f>
        <v>38.336388533601642</v>
      </c>
      <c r="G39" s="37"/>
      <c r="H39" s="20">
        <f>'Binomial Probabilities'!$H37</f>
        <v>2.6175002766624739E-2</v>
      </c>
      <c r="I39" s="36">
        <f t="shared" si="1"/>
        <v>0.11034548655228135</v>
      </c>
      <c r="J39" s="36">
        <f>SUM(D$15:D38)*H39</f>
        <v>0.89310958937714258</v>
      </c>
      <c r="K39" s="36">
        <f t="shared" si="5"/>
        <v>1.0034550759294238</v>
      </c>
    </row>
    <row r="40" spans="1:11" x14ac:dyDescent="0.25">
      <c r="A40" s="10">
        <f t="shared" si="6"/>
        <v>2009</v>
      </c>
      <c r="B40" s="34">
        <f t="shared" si="2"/>
        <v>25</v>
      </c>
      <c r="C40" s="10">
        <f t="shared" si="0"/>
        <v>3.125</v>
      </c>
      <c r="D40" s="37">
        <f t="shared" si="3"/>
        <v>0.48352401719367605</v>
      </c>
      <c r="E40" s="36">
        <f t="shared" si="4"/>
        <v>4.0829849338364248</v>
      </c>
      <c r="F40" s="36">
        <f>SUM(D$15:D39)+E40</f>
        <v>38.724688651778138</v>
      </c>
      <c r="G40" s="37"/>
      <c r="H40" s="20">
        <f>'Binomial Probabilities'!$H38</f>
        <v>2.0371681279899644E-2</v>
      </c>
      <c r="I40" s="36">
        <f t="shared" si="1"/>
        <v>8.3177267742747779E-2</v>
      </c>
      <c r="J40" s="36">
        <f>SUM(D$15:D39)*H40</f>
        <v>0.7057097471346232</v>
      </c>
      <c r="K40" s="36">
        <f t="shared" si="5"/>
        <v>0.7888870148773709</v>
      </c>
    </row>
    <row r="41" spans="1:11" x14ac:dyDescent="0.25">
      <c r="A41" s="10">
        <f t="shared" si="6"/>
        <v>2009.5</v>
      </c>
      <c r="B41" s="34">
        <f t="shared" si="2"/>
        <v>26</v>
      </c>
      <c r="C41" s="10">
        <f t="shared" si="0"/>
        <v>3.125</v>
      </c>
      <c r="D41" s="37">
        <f t="shared" si="3"/>
        <v>0.44874618765074353</v>
      </c>
      <c r="E41" s="36">
        <f t="shared" si="4"/>
        <v>3.9544648269602183</v>
      </c>
      <c r="F41" s="36">
        <f>SUM(D$15:D40)+E41</f>
        <v>39.079692562095609</v>
      </c>
      <c r="G41" s="37"/>
      <c r="H41" s="20">
        <f>'Binomial Probabilities'!$H39</f>
        <v>1.5654479696369634E-2</v>
      </c>
      <c r="I41" s="36">
        <f t="shared" si="1"/>
        <v>6.19050893436566E-2</v>
      </c>
      <c r="J41" s="36">
        <f>SUM(D$15:D40)*H41</f>
        <v>0.54986716441003647</v>
      </c>
      <c r="K41" s="36">
        <f t="shared" si="5"/>
        <v>0.61177225375369315</v>
      </c>
    </row>
    <row r="42" spans="1:11" x14ac:dyDescent="0.25">
      <c r="A42" s="10">
        <f t="shared" si="6"/>
        <v>2010</v>
      </c>
      <c r="B42" s="34">
        <f t="shared" si="2"/>
        <v>27</v>
      </c>
      <c r="C42" s="10">
        <f t="shared" si="0"/>
        <v>3.125</v>
      </c>
      <c r="D42" s="37">
        <f t="shared" si="3"/>
        <v>0.41646977972226773</v>
      </c>
      <c r="E42" s="36">
        <f t="shared" si="4"/>
        <v>3.8299901471769671</v>
      </c>
      <c r="F42" s="36">
        <f>SUM(D$15:D41)+E42</f>
        <v>39.403964069963095</v>
      </c>
      <c r="G42" s="37"/>
      <c r="H42" s="20">
        <f>'Binomial Probabilities'!$H40</f>
        <v>1.1928166594186383E-2</v>
      </c>
      <c r="I42" s="36">
        <f t="shared" si="1"/>
        <v>4.5684760529619284E-2</v>
      </c>
      <c r="J42" s="36">
        <f>SUM(D$15:D41)*H42</f>
        <v>0.42433228736823503</v>
      </c>
      <c r="K42" s="36">
        <f t="shared" si="5"/>
        <v>0.47001704789785431</v>
      </c>
    </row>
    <row r="43" spans="1:11" x14ac:dyDescent="0.25">
      <c r="A43" s="10">
        <f t="shared" si="6"/>
        <v>2010.5</v>
      </c>
      <c r="B43" s="34">
        <f t="shared" si="2"/>
        <v>28</v>
      </c>
      <c r="C43" s="10">
        <f t="shared" si="0"/>
        <v>3.125</v>
      </c>
      <c r="D43" s="37">
        <f t="shared" si="3"/>
        <v>0.38651487677240631</v>
      </c>
      <c r="E43" s="36">
        <f t="shared" si="4"/>
        <v>3.7094335565878613</v>
      </c>
      <c r="F43" s="36">
        <f>SUM(D$15:D42)+E43</f>
        <v>39.699877259096262</v>
      </c>
      <c r="G43" s="37"/>
      <c r="H43" s="20">
        <f>'Binomial Probabilities'!$H41</f>
        <v>9.0435903367057247E-3</v>
      </c>
      <c r="I43" s="36">
        <f t="shared" si="1"/>
        <v>3.3546597467009928E-2</v>
      </c>
      <c r="J43" s="36">
        <f>SUM(D$15:D42)*H43</f>
        <v>0.32548282888175639</v>
      </c>
      <c r="K43" s="36">
        <f t="shared" si="5"/>
        <v>0.35902942634876628</v>
      </c>
    </row>
    <row r="44" spans="1:11" x14ac:dyDescent="0.25">
      <c r="A44" s="10">
        <f t="shared" si="6"/>
        <v>2011</v>
      </c>
      <c r="B44" s="34">
        <f t="shared" si="2"/>
        <v>29</v>
      </c>
      <c r="C44" s="10">
        <f t="shared" si="0"/>
        <v>3.125</v>
      </c>
      <c r="D44" s="37">
        <f t="shared" si="3"/>
        <v>0.35871450280501749</v>
      </c>
      <c r="E44" s="36">
        <f t="shared" si="4"/>
        <v>3.5926717255088247</v>
      </c>
      <c r="F44" s="36">
        <f>SUM(D$15:D43)+E44</f>
        <v>39.969630304789632</v>
      </c>
      <c r="G44" s="37"/>
      <c r="H44" s="20">
        <f>'Binomial Probabilities'!$H42</f>
        <v>6.839657153137944E-3</v>
      </c>
      <c r="I44" s="36">
        <f t="shared" si="1"/>
        <v>2.4572642866252874E-2</v>
      </c>
      <c r="J44" s="36">
        <f>SUM(D$15:D43)*H44</f>
        <v>0.2488059249561807</v>
      </c>
      <c r="K44" s="36">
        <f t="shared" si="5"/>
        <v>0.27337856782243353</v>
      </c>
    </row>
    <row r="45" spans="1:11" x14ac:dyDescent="0.25">
      <c r="A45" s="10">
        <f t="shared" si="6"/>
        <v>2011.5</v>
      </c>
      <c r="B45" s="34">
        <f t="shared" si="2"/>
        <v>30</v>
      </c>
      <c r="C45" s="10">
        <f t="shared" si="0"/>
        <v>3.125</v>
      </c>
      <c r="D45" s="37">
        <f t="shared" si="3"/>
        <v>0.33291369169839219</v>
      </c>
      <c r="E45" s="36">
        <f t="shared" si="4"/>
        <v>3.4795852063039461</v>
      </c>
      <c r="F45" s="36">
        <f>SUM(D$15:D44)+E45</f>
        <v>40.215258288389769</v>
      </c>
      <c r="G45" s="37"/>
      <c r="H45" s="20">
        <f>'Binomial Probabilities'!$H43</f>
        <v>5.1678407953966547E-3</v>
      </c>
      <c r="I45" s="36">
        <f t="shared" si="1"/>
        <v>1.7981942380196219E-2</v>
      </c>
      <c r="J45" s="36">
        <f>SUM(D$15:D44)*H45</f>
        <v>0.18984410999995788</v>
      </c>
      <c r="K45" s="36">
        <f t="shared" si="5"/>
        <v>0.20782605238015409</v>
      </c>
    </row>
    <row r="46" spans="1:11" x14ac:dyDescent="0.25">
      <c r="A46" s="10">
        <f t="shared" si="6"/>
        <v>2012</v>
      </c>
      <c r="B46" s="34">
        <f t="shared" si="2"/>
        <v>31</v>
      </c>
      <c r="C46" s="10">
        <f t="shared" si="0"/>
        <v>3.125</v>
      </c>
      <c r="D46" s="37">
        <f t="shared" si="3"/>
        <v>0.30896862338597886</v>
      </c>
      <c r="E46" s="36">
        <f t="shared" si="4"/>
        <v>3.3700583111902631</v>
      </c>
      <c r="F46" s="36">
        <f>SUM(D$15:D45)+E46</f>
        <v>40.438645084974482</v>
      </c>
      <c r="G46" s="37"/>
      <c r="H46" s="20">
        <f>'Binomial Probabilities'!$H44</f>
        <v>3.9030091334780631E-3</v>
      </c>
      <c r="I46" s="36">
        <f t="shared" si="1"/>
        <v>1.3153368368929254E-2</v>
      </c>
      <c r="J46" s="36">
        <f>SUM(D$15:D45)*H46</f>
        <v>0.14467903274320393</v>
      </c>
      <c r="K46" s="36">
        <f t="shared" si="5"/>
        <v>0.15783240111213317</v>
      </c>
    </row>
    <row r="47" spans="1:11" x14ac:dyDescent="0.25">
      <c r="A47" s="10">
        <f t="shared" si="6"/>
        <v>2012.5</v>
      </c>
      <c r="B47" s="34">
        <f t="shared" si="2"/>
        <v>32</v>
      </c>
      <c r="C47" s="10">
        <f t="shared" si="0"/>
        <v>3.125</v>
      </c>
      <c r="D47" s="37">
        <f t="shared" si="3"/>
        <v>0.28674582216796185</v>
      </c>
      <c r="E47" s="36">
        <f t="shared" si="4"/>
        <v>3.2639789938888741</v>
      </c>
      <c r="F47" s="36">
        <f>SUM(D$15:D46)+E47</f>
        <v>40.641534391059075</v>
      </c>
      <c r="G47" s="37"/>
      <c r="H47" s="20">
        <f>'Binomial Probabilities'!$H45</f>
        <v>2.9455744656558744E-3</v>
      </c>
      <c r="I47" s="36">
        <f t="shared" si="1"/>
        <v>9.6142931808362187E-3</v>
      </c>
      <c r="J47" s="36">
        <f>SUM(D$15:D46)*H47</f>
        <v>0.11009837276654245</v>
      </c>
      <c r="K47" s="36">
        <f t="shared" si="5"/>
        <v>0.11971266594737867</v>
      </c>
    </row>
    <row r="48" spans="1:11" x14ac:dyDescent="0.25">
      <c r="A48" s="10">
        <f t="shared" si="6"/>
        <v>2013</v>
      </c>
      <c r="B48" s="34">
        <f t="shared" si="2"/>
        <v>33</v>
      </c>
      <c r="C48" s="10">
        <f t="shared" si="0"/>
        <v>3.125</v>
      </c>
      <c r="D48" s="37">
        <f t="shared" si="3"/>
        <v>0.26612141268488337</v>
      </c>
      <c r="E48" s="36">
        <f t="shared" si="4"/>
        <v>3.1612387350013309</v>
      </c>
      <c r="F48" s="36">
        <f>SUM(D$15:D47)+E48</f>
        <v>40.82553995433949</v>
      </c>
      <c r="G48" s="37"/>
      <c r="H48" s="20">
        <f>'Binomial Probabilities'!$H46</f>
        <v>2.2191464514135935E-3</v>
      </c>
      <c r="I48" s="36">
        <f t="shared" si="1"/>
        <v>7.0152517208494011E-3</v>
      </c>
      <c r="J48" s="36">
        <f>SUM(D$15:D47)*H48</f>
        <v>8.3582600395866957E-2</v>
      </c>
      <c r="K48" s="36">
        <f t="shared" si="5"/>
        <v>9.0597852116716365E-2</v>
      </c>
    </row>
    <row r="49" spans="1:11" x14ac:dyDescent="0.25">
      <c r="A49" s="10">
        <f t="shared" si="6"/>
        <v>2013.5</v>
      </c>
      <c r="B49" s="34">
        <f t="shared" si="2"/>
        <v>34</v>
      </c>
      <c r="C49" s="10">
        <f t="shared" si="0"/>
        <v>3.125</v>
      </c>
      <c r="D49" s="37">
        <f t="shared" si="3"/>
        <v>0.2469804294059243</v>
      </c>
      <c r="E49" s="36">
        <f t="shared" si="4"/>
        <v>3.0617324309940255</v>
      </c>
      <c r="F49" s="36">
        <f>SUM(D$15:D48)+E49</f>
        <v>40.992155063017066</v>
      </c>
      <c r="G49" s="37"/>
      <c r="H49" s="20">
        <f>'Binomial Probabilities'!$H47</f>
        <v>1.6664564661228996E-3</v>
      </c>
      <c r="I49" s="36">
        <f t="shared" si="1"/>
        <v>5.102243807168178E-3</v>
      </c>
      <c r="J49" s="36">
        <f>SUM(D$15:D48)*H49</f>
        <v>6.3209398057909164E-2</v>
      </c>
      <c r="K49" s="36">
        <f t="shared" si="5"/>
        <v>6.8311641865077349E-2</v>
      </c>
    </row>
    <row r="50" spans="1:11" x14ac:dyDescent="0.25">
      <c r="A50" s="10">
        <f t="shared" si="6"/>
        <v>2014</v>
      </c>
      <c r="B50" s="34">
        <f t="shared" si="2"/>
        <v>35</v>
      </c>
      <c r="C50" s="10">
        <f t="shared" si="0"/>
        <v>3.125</v>
      </c>
      <c r="D50" s="37">
        <f t="shared" si="3"/>
        <v>0.22921617578276038</v>
      </c>
      <c r="E50" s="36">
        <f t="shared" si="4"/>
        <v>2.9653582866770218</v>
      </c>
      <c r="F50" s="36">
        <f>SUM(D$15:D49)+E50</f>
        <v>41.142761348105985</v>
      </c>
      <c r="G50" s="37"/>
      <c r="H50" s="20">
        <f>'Binomial Probabilities'!$H48</f>
        <v>1.2450897003516369E-3</v>
      </c>
      <c r="I50" s="36">
        <f t="shared" si="1"/>
        <v>3.6921370605939364E-3</v>
      </c>
      <c r="J50" s="36">
        <f>SUM(D$15:D49)*H50</f>
        <v>4.7534291337958251E-2</v>
      </c>
      <c r="K50" s="36">
        <f t="shared" si="5"/>
        <v>5.1226428398552189E-2</v>
      </c>
    </row>
    <row r="51" spans="1:11" x14ac:dyDescent="0.25">
      <c r="A51" s="10">
        <f t="shared" si="6"/>
        <v>2014.5</v>
      </c>
      <c r="B51" s="34">
        <f t="shared" si="2"/>
        <v>36</v>
      </c>
      <c r="C51" s="10">
        <f t="shared" si="0"/>
        <v>3.125</v>
      </c>
      <c r="D51" s="37">
        <f t="shared" si="3"/>
        <v>0.21272962949676141</v>
      </c>
      <c r="E51" s="36">
        <f t="shared" si="4"/>
        <v>2.8720177110673339</v>
      </c>
      <c r="F51" s="36">
        <f>SUM(D$15:D50)+E51</f>
        <v>41.278636948279058</v>
      </c>
      <c r="G51" s="37"/>
      <c r="H51" s="20">
        <f>'Binomial Probabilities'!$H49</f>
        <v>9.2372816186050424E-4</v>
      </c>
      <c r="I51" s="36">
        <f t="shared" si="1"/>
        <v>2.6529636410750411E-3</v>
      </c>
      <c r="J51" s="36">
        <f>SUM(D$15:D50)*H51</f>
        <v>3.5477275791265868E-2</v>
      </c>
      <c r="K51" s="36">
        <f t="shared" si="5"/>
        <v>3.8130239432340909E-2</v>
      </c>
    </row>
    <row r="52" spans="1:11" x14ac:dyDescent="0.25">
      <c r="A52" s="10">
        <f t="shared" si="6"/>
        <v>2015</v>
      </c>
      <c r="B52" s="34">
        <f t="shared" si="2"/>
        <v>37</v>
      </c>
      <c r="C52" s="10">
        <f t="shared" si="0"/>
        <v>3.125</v>
      </c>
      <c r="D52" s="37">
        <f t="shared" si="3"/>
        <v>0.19742889048423332</v>
      </c>
      <c r="E52" s="36">
        <f t="shared" si="4"/>
        <v>2.7816152165301054</v>
      </c>
      <c r="F52" s="36">
        <f>SUM(D$15:D51)+E52</f>
        <v>41.400964083238591</v>
      </c>
      <c r="G52" s="37"/>
      <c r="H52" s="20">
        <f>'Binomial Probabilities'!$H50</f>
        <v>6.7913215905778858E-4</v>
      </c>
      <c r="I52" s="36">
        <f t="shared" si="1"/>
        <v>1.8890843476700885E-3</v>
      </c>
      <c r="J52" s="36">
        <f>SUM(D$15:D51)*H52</f>
        <v>2.6227641777253695E-2</v>
      </c>
      <c r="K52" s="36">
        <f t="shared" si="5"/>
        <v>2.8116726124923781E-2</v>
      </c>
    </row>
    <row r="53" spans="1:11" x14ac:dyDescent="0.25">
      <c r="A53" s="10">
        <f t="shared" si="6"/>
        <v>2015.5</v>
      </c>
      <c r="B53" s="34">
        <f t="shared" si="2"/>
        <v>38</v>
      </c>
      <c r="C53" s="10">
        <f t="shared" si="0"/>
        <v>3.125</v>
      </c>
      <c r="D53" s="37">
        <f t="shared" si="3"/>
        <v>0.18322866866286155</v>
      </c>
      <c r="E53" s="36">
        <f t="shared" si="4"/>
        <v>2.6940583210945332</v>
      </c>
      <c r="F53" s="36">
        <f>SUM(D$15:D52)+E53</f>
        <v>41.510836078287248</v>
      </c>
      <c r="G53" s="37"/>
      <c r="H53" s="20">
        <f>'Binomial Probabilities'!$H51</f>
        <v>4.9385385160597133E-4</v>
      </c>
      <c r="I53" s="36">
        <f t="shared" si="1"/>
        <v>1.330471078323652E-3</v>
      </c>
      <c r="J53" s="36">
        <f>SUM(D$15:D52)*H53</f>
        <v>1.916981520232262E-2</v>
      </c>
      <c r="K53" s="36">
        <f t="shared" si="5"/>
        <v>2.0500286280646273E-2</v>
      </c>
    </row>
    <row r="54" spans="1:11" x14ac:dyDescent="0.25">
      <c r="A54" s="10">
        <f t="shared" si="6"/>
        <v>2016</v>
      </c>
      <c r="B54" s="34">
        <f t="shared" si="2"/>
        <v>39</v>
      </c>
      <c r="C54" s="10">
        <f t="shared" si="0"/>
        <v>3.125</v>
      </c>
      <c r="D54" s="37">
        <f t="shared" si="3"/>
        <v>0.17004980850381587</v>
      </c>
      <c r="E54" s="36">
        <f t="shared" si="4"/>
        <v>2.6092574538445841</v>
      </c>
      <c r="F54" s="36">
        <f>SUM(D$15:D53)+E54</f>
        <v>41.609263879700165</v>
      </c>
      <c r="G54" s="37"/>
      <c r="H54" s="20">
        <f>'Binomial Probabilities'!$H52</f>
        <v>3.545801555169768E-4</v>
      </c>
      <c r="I54" s="36">
        <f t="shared" si="1"/>
        <v>9.2519091376804354E-4</v>
      </c>
      <c r="J54" s="36">
        <f>SUM(D$15:D53)*H54</f>
        <v>1.3828628343642967E-2</v>
      </c>
      <c r="K54" s="36">
        <f t="shared" si="5"/>
        <v>1.4753819257411011E-2</v>
      </c>
    </row>
    <row r="55" spans="1:11" x14ac:dyDescent="0.25">
      <c r="A55" s="10">
        <f t="shared" si="6"/>
        <v>2016.5</v>
      </c>
      <c r="B55" s="34">
        <f t="shared" si="2"/>
        <v>40</v>
      </c>
      <c r="C55" s="10">
        <f t="shared" si="0"/>
        <v>3.125</v>
      </c>
      <c r="D55" s="37">
        <f t="shared" si="3"/>
        <v>0.15781884779936509</v>
      </c>
      <c r="E55" s="36">
        <f t="shared" si="4"/>
        <v>2.5271258632877327</v>
      </c>
      <c r="F55" s="36">
        <f>SUM(D$15:D54)+E55</f>
        <v>41.697182097647129</v>
      </c>
      <c r="G55" s="37"/>
      <c r="H55" s="20">
        <f>'Binomial Probabilities'!$H53</f>
        <v>2.5097484478297307E-4</v>
      </c>
      <c r="I55" s="36">
        <f t="shared" si="1"/>
        <v>6.3424502128567556E-4</v>
      </c>
      <c r="J55" s="36">
        <f>SUM(D$15:D54)*H55</f>
        <v>9.8306987835586768E-3</v>
      </c>
      <c r="K55" s="36">
        <f t="shared" si="5"/>
        <v>1.0464943804844352E-2</v>
      </c>
    </row>
    <row r="56" spans="1:11" x14ac:dyDescent="0.25">
      <c r="A56" s="10">
        <f t="shared" si="6"/>
        <v>2017</v>
      </c>
      <c r="B56" s="34">
        <f t="shared" si="2"/>
        <v>41</v>
      </c>
      <c r="C56" s="10">
        <f t="shared" si="0"/>
        <v>3.125</v>
      </c>
      <c r="D56" s="37">
        <f t="shared" si="3"/>
        <v>0.14646760816646412</v>
      </c>
      <c r="E56" s="36">
        <f t="shared" si="4"/>
        <v>2.4475795286079736</v>
      </c>
      <c r="F56" s="36">
        <f>SUM(D$15:D55)+E56</f>
        <v>41.775454610766737</v>
      </c>
      <c r="G56" s="37"/>
      <c r="H56" s="20">
        <f>'Binomial Probabilities'!$H54</f>
        <v>1.7489315343885092E-4</v>
      </c>
      <c r="I56" s="36">
        <f t="shared" si="1"/>
        <v>4.2806490205062471E-4</v>
      </c>
      <c r="J56" s="36">
        <f>SUM(D$15:D55)*H56</f>
        <v>6.878176091167954E-3</v>
      </c>
      <c r="K56" s="36">
        <f t="shared" si="5"/>
        <v>7.3062409932185789E-3</v>
      </c>
    </row>
    <row r="57" spans="1:11" x14ac:dyDescent="0.25">
      <c r="A57" s="10">
        <f t="shared" si="6"/>
        <v>2017.5</v>
      </c>
      <c r="B57" s="34">
        <f t="shared" si="2"/>
        <v>42</v>
      </c>
      <c r="C57" s="10">
        <f t="shared" si="0"/>
        <v>3.125</v>
      </c>
      <c r="D57" s="37">
        <f t="shared" si="3"/>
        <v>0.13593281500367901</v>
      </c>
      <c r="E57" s="36">
        <f t="shared" si="4"/>
        <v>2.370537073712323</v>
      </c>
      <c r="F57" s="36">
        <f>SUM(D$15:D56)+E57</f>
        <v>41.844879764037543</v>
      </c>
      <c r="G57" s="37"/>
      <c r="H57" s="20">
        <f>'Binomial Probabilities'!$H55</f>
        <v>1.198584687126807E-4</v>
      </c>
      <c r="I57" s="36">
        <f t="shared" si="1"/>
        <v>2.8412894368179815E-4</v>
      </c>
      <c r="J57" s="36">
        <f>SUM(D$15:D56)*H57</f>
        <v>4.7313342683019816E-3</v>
      </c>
      <c r="K57" s="36">
        <f t="shared" si="5"/>
        <v>5.0154632119837799E-3</v>
      </c>
    </row>
    <row r="58" spans="1:11" x14ac:dyDescent="0.25">
      <c r="A58" s="10">
        <f t="shared" si="6"/>
        <v>2018</v>
      </c>
      <c r="B58" s="34">
        <f t="shared" si="2"/>
        <v>43</v>
      </c>
      <c r="C58" s="10">
        <f t="shared" si="0"/>
        <v>3.125</v>
      </c>
      <c r="D58" s="37">
        <f t="shared" si="3"/>
        <v>0.12615574478299676</v>
      </c>
      <c r="E58" s="36">
        <f t="shared" si="4"/>
        <v>2.2959196839828797</v>
      </c>
      <c r="F58" s="36">
        <f>SUM(D$15:D57)+E58</f>
        <v>41.906195189311781</v>
      </c>
      <c r="G58" s="37"/>
      <c r="H58" s="20">
        <f>'Binomial Probabilities'!$H56</f>
        <v>8.0711943322604024E-5</v>
      </c>
      <c r="I58" s="36">
        <f t="shared" si="1"/>
        <v>1.8530813940687712E-4</v>
      </c>
      <c r="J58" s="36">
        <f>SUM(D$15:D57)*H58</f>
        <v>3.1970223115788368E-3</v>
      </c>
      <c r="K58" s="36">
        <f t="shared" si="5"/>
        <v>3.3823304509857138E-3</v>
      </c>
    </row>
    <row r="59" spans="1:11" x14ac:dyDescent="0.25">
      <c r="A59" s="10">
        <f t="shared" si="6"/>
        <v>2018.5</v>
      </c>
      <c r="B59" s="34">
        <f t="shared" si="2"/>
        <v>44</v>
      </c>
      <c r="C59" s="10">
        <f t="shared" si="0"/>
        <v>3.125</v>
      </c>
      <c r="D59" s="37">
        <f t="shared" si="3"/>
        <v>0.11708189771043787</v>
      </c>
      <c r="E59" s="36">
        <f t="shared" si="4"/>
        <v>2.2236510256492785</v>
      </c>
      <c r="F59" s="36">
        <f>SUM(D$15:D58)+E59</f>
        <v>41.960082275761181</v>
      </c>
      <c r="G59" s="37"/>
      <c r="H59" s="20">
        <f>'Binomial Probabilities'!$H57</f>
        <v>5.3368287762146544E-5</v>
      </c>
      <c r="I59" s="36">
        <f t="shared" si="1"/>
        <v>1.18672447819443E-4</v>
      </c>
      <c r="J59" s="36">
        <f>SUM(D$15:D58)*H59</f>
        <v>2.1206652975967245E-3</v>
      </c>
      <c r="K59" s="36">
        <f t="shared" si="5"/>
        <v>2.2393377454161677E-3</v>
      </c>
    </row>
    <row r="60" spans="1:11" x14ac:dyDescent="0.25">
      <c r="A60" s="10">
        <f t="shared" si="6"/>
        <v>2019</v>
      </c>
      <c r="B60" s="34">
        <f t="shared" si="2"/>
        <v>45</v>
      </c>
      <c r="C60" s="10">
        <f t="shared" si="0"/>
        <v>3.125</v>
      </c>
      <c r="D60" s="37">
        <f t="shared" si="3"/>
        <v>0.1086606939308008</v>
      </c>
      <c r="E60" s="36">
        <f t="shared" si="4"/>
        <v>2.153657167699059</v>
      </c>
      <c r="F60" s="36">
        <f>SUM(D$15:D59)+E60</f>
        <v>42.007170315521392</v>
      </c>
      <c r="G60" s="37"/>
      <c r="H60" s="20">
        <f>'Binomial Probabilities'!$H58</f>
        <v>3.4632159371892151E-5</v>
      </c>
      <c r="I60" s="36">
        <f t="shared" si="1"/>
        <v>7.4585798264171675E-5</v>
      </c>
      <c r="J60" s="36">
        <f>SUM(D$15:D59)*H60</f>
        <v>1.3802132188651822E-3</v>
      </c>
      <c r="K60" s="36">
        <f t="shared" si="5"/>
        <v>1.454799017129354E-3</v>
      </c>
    </row>
    <row r="61" spans="1:11" x14ac:dyDescent="0.25">
      <c r="A61" s="10">
        <f t="shared" si="6"/>
        <v>2019.5</v>
      </c>
      <c r="B61" s="34">
        <f t="shared" si="2"/>
        <v>46</v>
      </c>
      <c r="C61" s="10">
        <f t="shared" si="0"/>
        <v>3.125</v>
      </c>
      <c r="D61" s="37">
        <f t="shared" si="3"/>
        <v>0.10084519158310981</v>
      </c>
      <c r="E61" s="36">
        <f t="shared" si="4"/>
        <v>2.0858665062460617</v>
      </c>
      <c r="F61" s="36">
        <f>SUM(D$15:D60)+E61</f>
        <v>42.048040347999198</v>
      </c>
      <c r="G61" s="37"/>
      <c r="H61" s="20">
        <f>'Binomial Probabilities'!$H59</f>
        <v>2.2047518358004565E-5</v>
      </c>
      <c r="I61" s="36">
        <f t="shared" si="1"/>
        <v>4.5988180088806891E-5</v>
      </c>
      <c r="J61" s="36">
        <f>SUM(D$15:D60)*H61</f>
        <v>8.8106676140182203E-4</v>
      </c>
      <c r="K61" s="36">
        <f t="shared" si="5"/>
        <v>9.2705494149062891E-4</v>
      </c>
    </row>
    <row r="62" spans="1:11" x14ac:dyDescent="0.25">
      <c r="A62" s="10">
        <f t="shared" si="6"/>
        <v>2020</v>
      </c>
      <c r="B62" s="34">
        <f t="shared" si="2"/>
        <v>47</v>
      </c>
      <c r="C62" s="10">
        <f t="shared" si="0"/>
        <v>3.125</v>
      </c>
      <c r="D62" s="37">
        <f t="shared" si="3"/>
        <v>9.3591825135136725E-2</v>
      </c>
      <c r="E62" s="36">
        <f>C62/(1+C$8/2)^B62+C63/(1+C$8/2)^B63</f>
        <v>1.3682254998421026</v>
      </c>
      <c r="F62" s="36">
        <f>SUM(D$15:D61)+E62</f>
        <v>41.431244533178351</v>
      </c>
      <c r="G62" s="37"/>
      <c r="H62" s="20">
        <f>'Binomial Probabilities'!$H60</f>
        <v>1.3765854145594381E-5</v>
      </c>
      <c r="I62" s="36">
        <f t="shared" si="1"/>
        <v>1.8834792669109353E-5</v>
      </c>
      <c r="J62" s="36">
        <f>SUM(D$15:D61)*H62</f>
        <v>5.5150167664507832E-4</v>
      </c>
      <c r="K62" s="36">
        <f t="shared" si="5"/>
        <v>5.7033646931418773E-4</v>
      </c>
    </row>
    <row r="63" spans="1:11" x14ac:dyDescent="0.25">
      <c r="A63" s="10">
        <f t="shared" si="6"/>
        <v>2020.5</v>
      </c>
      <c r="B63" s="34">
        <f t="shared" si="2"/>
        <v>48</v>
      </c>
      <c r="C63" s="10">
        <f t="shared" si="0"/>
        <v>3.125</v>
      </c>
      <c r="D63" s="37">
        <f>C63/(1+C$7/2)^B63</f>
        <v>8.686016253840996E-2</v>
      </c>
      <c r="E63" s="36">
        <f>C63/(1+C$8/2)^B63</f>
        <v>0.67317367765909097</v>
      </c>
      <c r="F63" s="36">
        <f>SUM(D$15:D62)+E63</f>
        <v>40.829784536130475</v>
      </c>
      <c r="G63" s="37"/>
      <c r="H63" s="20">
        <f>'Binomial Probabilities'!$H61</f>
        <v>2.1829088192010605E-2</v>
      </c>
      <c r="I63" s="36">
        <f t="shared" si="1"/>
        <v>1.4694767578160416E-2</v>
      </c>
      <c r="J63" s="36">
        <f>SUM(D$15:D62)*H63</f>
        <v>0.87658219992182251</v>
      </c>
      <c r="K63" s="36">
        <f>F63*H63</f>
        <v>0.89127696749998297</v>
      </c>
    </row>
    <row r="64" spans="1:11" x14ac:dyDescent="0.25">
      <c r="A64" s="10">
        <f>A63</f>
        <v>2020.5</v>
      </c>
      <c r="B64" s="34">
        <f>B63</f>
        <v>48</v>
      </c>
      <c r="C64" s="10">
        <f t="shared" si="0"/>
        <v>3.125</v>
      </c>
      <c r="D64" s="37">
        <f>C64/(1+C$7/2)^B64</f>
        <v>8.686016253840996E-2</v>
      </c>
      <c r="E64" s="36"/>
      <c r="F64" s="36">
        <f>SUM(D$15:D63)</f>
        <v>40.243471021009789</v>
      </c>
      <c r="G64" s="37"/>
      <c r="H64" s="20">
        <f>'Binomial Probabilities'!$H61</f>
        <v>2.1829088192010605E-2</v>
      </c>
      <c r="I64" s="36">
        <f t="shared" si="1"/>
        <v>0</v>
      </c>
      <c r="J64" s="36">
        <f>SUM(D$15:D63)*H64</f>
        <v>0.87847827807024581</v>
      </c>
      <c r="K64" s="36">
        <f t="shared" ref="K64" si="7">F64*H64</f>
        <v>0.87847827807024581</v>
      </c>
    </row>
    <row r="65" spans="1:11" x14ac:dyDescent="0.25">
      <c r="A65" s="10">
        <f>A64</f>
        <v>2020.5</v>
      </c>
      <c r="B65" s="34">
        <f>B64</f>
        <v>48</v>
      </c>
      <c r="C65" s="10">
        <v>100</v>
      </c>
      <c r="D65" s="39">
        <f>C65/(1+C$8/2)^B65</f>
        <v>21.541557685090911</v>
      </c>
      <c r="E65" s="36"/>
      <c r="F65" s="36">
        <f>D65</f>
        <v>21.541557685090911</v>
      </c>
      <c r="G65" s="37"/>
      <c r="H65" s="20">
        <v>1</v>
      </c>
      <c r="I65" s="40">
        <f>D65*H65</f>
        <v>21.541557685090911</v>
      </c>
      <c r="J65" s="36"/>
      <c r="K65" s="40">
        <f>F65*H65</f>
        <v>21.541557685090911</v>
      </c>
    </row>
    <row r="67" spans="1:11" x14ac:dyDescent="0.25">
      <c r="A67" s="10" t="s">
        <v>60</v>
      </c>
      <c r="I67" s="38">
        <f>SUM(I15:I65)</f>
        <v>26.840999184547943</v>
      </c>
      <c r="J67" s="41">
        <f>SUM(J15:J65)</f>
        <v>28.910362163263564</v>
      </c>
      <c r="K67" s="38">
        <f>SUM(K15:K65)</f>
        <v>55.751361347811482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workbookViewId="0">
      <selection activeCell="C66" sqref="C66"/>
    </sheetView>
  </sheetViews>
  <sheetFormatPr defaultRowHeight="15" x14ac:dyDescent="0.25"/>
  <cols>
    <col min="1" max="1" width="13.28515625" customWidth="1"/>
    <col min="2" max="2" width="15.85546875" bestFit="1" customWidth="1"/>
    <col min="3" max="3" width="11.5703125" customWidth="1"/>
    <col min="4" max="4" width="16" customWidth="1"/>
    <col min="5" max="5" width="15" customWidth="1"/>
    <col min="6" max="6" width="13" customWidth="1"/>
    <col min="7" max="7" width="16.7109375" customWidth="1"/>
    <col min="8" max="8" width="15" customWidth="1"/>
    <col min="9" max="9" width="12.7109375" customWidth="1"/>
    <col min="10" max="10" width="10.140625" customWidth="1"/>
    <col min="11" max="11" width="19.28515625" bestFit="1" customWidth="1"/>
    <col min="15" max="15" width="14.42578125" bestFit="1" customWidth="1"/>
    <col min="16" max="17" width="13.85546875" bestFit="1" customWidth="1"/>
    <col min="18" max="18" width="12" bestFit="1" customWidth="1"/>
  </cols>
  <sheetData>
    <row r="1" spans="1:16" x14ac:dyDescent="0.25">
      <c r="B1" s="28" t="s">
        <v>42</v>
      </c>
      <c r="C1" s="28"/>
      <c r="D1" s="11"/>
      <c r="E1" s="12"/>
      <c r="F1" s="12"/>
      <c r="G1" s="12"/>
      <c r="H1" s="12"/>
      <c r="I1" s="12"/>
      <c r="J1" s="12"/>
      <c r="K1" s="28"/>
      <c r="L1" s="28"/>
      <c r="M1" s="11"/>
    </row>
    <row r="2" spans="1:16" x14ac:dyDescent="0.25">
      <c r="B2" t="s">
        <v>40</v>
      </c>
      <c r="C2">
        <v>100</v>
      </c>
    </row>
    <row r="3" spans="1:16" x14ac:dyDescent="0.25">
      <c r="B3" t="s">
        <v>43</v>
      </c>
      <c r="C3">
        <v>24</v>
      </c>
      <c r="K3" s="3"/>
    </row>
    <row r="4" spans="1:16" x14ac:dyDescent="0.25">
      <c r="B4" t="s">
        <v>39</v>
      </c>
      <c r="C4" s="3">
        <v>6.25E-2</v>
      </c>
      <c r="L4" s="3"/>
    </row>
    <row r="5" spans="1:16" x14ac:dyDescent="0.25">
      <c r="B5" t="s">
        <v>44</v>
      </c>
      <c r="C5" s="5">
        <f>C4/2</f>
        <v>3.125E-2</v>
      </c>
      <c r="K5" s="3"/>
      <c r="L5" s="13"/>
    </row>
    <row r="6" spans="1:16" x14ac:dyDescent="0.25">
      <c r="B6" t="s">
        <v>45</v>
      </c>
      <c r="C6" s="14">
        <v>3</v>
      </c>
      <c r="L6" s="13"/>
    </row>
    <row r="7" spans="1:16" x14ac:dyDescent="0.25">
      <c r="B7" t="s">
        <v>46</v>
      </c>
      <c r="C7" s="3">
        <v>0.15</v>
      </c>
    </row>
    <row r="8" spans="1:16" x14ac:dyDescent="0.25">
      <c r="B8" t="s">
        <v>47</v>
      </c>
      <c r="C8" s="3">
        <v>7.1999999999999995E-2</v>
      </c>
      <c r="L8" s="3"/>
    </row>
    <row r="9" spans="1:16" x14ac:dyDescent="0.25">
      <c r="B9" t="s">
        <v>48</v>
      </c>
      <c r="C9" s="3">
        <f>C7-C8</f>
        <v>7.8E-2</v>
      </c>
      <c r="L9" s="3"/>
    </row>
    <row r="10" spans="1:16" x14ac:dyDescent="0.25">
      <c r="C10" s="3"/>
      <c r="L10" s="3"/>
    </row>
    <row r="11" spans="1:16" x14ac:dyDescent="0.25">
      <c r="A11" s="15"/>
      <c r="B11" s="15"/>
      <c r="C11" s="15"/>
      <c r="D11" s="15"/>
      <c r="E11" s="15"/>
      <c r="F11" s="15"/>
      <c r="G11" s="15"/>
      <c r="H11" s="15"/>
      <c r="I11" s="15"/>
    </row>
    <row r="12" spans="1:16" x14ac:dyDescent="0.25">
      <c r="A12" s="15" t="s">
        <v>49</v>
      </c>
      <c r="B12" s="16" t="s">
        <v>41</v>
      </c>
      <c r="C12" s="16" t="s">
        <v>50</v>
      </c>
      <c r="D12" s="16" t="s">
        <v>51</v>
      </c>
      <c r="E12" s="16" t="s">
        <v>52</v>
      </c>
      <c r="F12" s="16" t="s">
        <v>66</v>
      </c>
      <c r="G12" s="16" t="s">
        <v>67</v>
      </c>
      <c r="H12" s="16" t="s">
        <v>68</v>
      </c>
      <c r="I12" s="16" t="s">
        <v>53</v>
      </c>
      <c r="J12" s="7"/>
      <c r="K12" s="7"/>
      <c r="L12" s="7"/>
      <c r="M12" s="7"/>
      <c r="N12" s="7"/>
      <c r="O12" s="7"/>
      <c r="P12" s="7"/>
    </row>
    <row r="13" spans="1:16" x14ac:dyDescent="0.25">
      <c r="A13" s="17">
        <f>$C$3*2-B13</f>
        <v>47</v>
      </c>
      <c r="B13" s="7">
        <v>1</v>
      </c>
      <c r="C13" s="18">
        <f>$C$5*$C$2/(1+$C$7/2)^B13</f>
        <v>2.9069767441860468</v>
      </c>
      <c r="D13" s="19">
        <f>0+($C$5*$C$2)/(1+$C$8/2)^B13+($C$5*$C$2)/(1+$C$8/2)^B14+($C$5*$C$2)/(1+$C$8/2)^B15</f>
        <v>8.738418168342438</v>
      </c>
      <c r="E13" s="29">
        <f>EXP(-0.01*((B13-$C$3)^2))*0.2</f>
        <v>1.0083520519381958E-3</v>
      </c>
      <c r="F13" s="29">
        <f>1-E13</f>
        <v>0.99899164794806183</v>
      </c>
      <c r="G13" s="29">
        <f>PRODUCT(F$13:F13)</f>
        <v>0.99899164794806183</v>
      </c>
      <c r="H13" s="20">
        <f>E13</f>
        <v>1.0083520519381958E-3</v>
      </c>
      <c r="I13" s="29">
        <f>D13*H13</f>
        <v>8.8114018907421085E-3</v>
      </c>
      <c r="M13" s="22"/>
      <c r="O13" s="23"/>
    </row>
    <row r="14" spans="1:16" x14ac:dyDescent="0.25">
      <c r="A14" s="17">
        <f t="shared" ref="A14:A60" si="0">$C$3*2-B14</f>
        <v>46</v>
      </c>
      <c r="B14" s="7">
        <f>B13+1</f>
        <v>2</v>
      </c>
      <c r="C14" s="18">
        <f t="shared" ref="C14:C61" si="1">$C$5*$C$2/(1+$C$7/2)^B14</f>
        <v>2.7041644131963225</v>
      </c>
      <c r="D14" s="19">
        <f>SUM($C$13:C13)+($C$5*$C$2)/(1+$C$8/2)^B14+($C$5*$C$2)/(1+$C$8/2)^B15+($C$5*$C$2)/(1+$C$8/2)^B16</f>
        <v>11.341743315945157</v>
      </c>
      <c r="E14" s="29">
        <f t="shared" ref="E14:E35" si="2">EXP(-0.01*((B14-$C$3)^2))*0.2</f>
        <v>1.5814108103186883E-3</v>
      </c>
      <c r="F14" s="29">
        <f t="shared" ref="F14:F60" si="3">1-E14</f>
        <v>0.99841858918968129</v>
      </c>
      <c r="G14" s="29">
        <f>PRODUCT(F$13:F14)</f>
        <v>0.99741183175657866</v>
      </c>
      <c r="H14" s="20">
        <f>PRODUCT($F$13:F13)*E14</f>
        <v>1.5798161914831463E-3</v>
      </c>
      <c r="I14" s="29">
        <f>D14*H14</f>
        <v>1.7917869730175909E-2</v>
      </c>
      <c r="M14" s="22"/>
      <c r="O14" s="23"/>
    </row>
    <row r="15" spans="1:16" x14ac:dyDescent="0.25">
      <c r="A15" s="17">
        <f t="shared" si="0"/>
        <v>45</v>
      </c>
      <c r="B15" s="7">
        <f t="shared" ref="B15:B60" si="4">B14+1</f>
        <v>3</v>
      </c>
      <c r="C15" s="18">
        <f t="shared" si="1"/>
        <v>2.5155017797175097</v>
      </c>
      <c r="D15" s="19">
        <f>SUM($C$13:C14)+($C$5*$C$2)/(1+$C$8/2)^B15+($C$5*$C$2)/(1+$C$8/2)^B16+($C$5*$C$2)/(1+$C$8/2)^B17</f>
        <v>13.752807732439425</v>
      </c>
      <c r="E15" s="29">
        <f t="shared" si="2"/>
        <v>2.4310356659829873E-3</v>
      </c>
      <c r="F15" s="29">
        <f t="shared" si="3"/>
        <v>0.99756896433401698</v>
      </c>
      <c r="G15" s="29">
        <f>PRODUCT(F$13:F15)</f>
        <v>0.99498708801990499</v>
      </c>
      <c r="H15" s="20">
        <f>PRODUCT($F$13:F14)*E15</f>
        <v>2.4247437366736657E-3</v>
      </c>
      <c r="I15" s="29">
        <f t="shared" ref="I15:I60" si="5">D15*H15</f>
        <v>3.3347034410909658E-2</v>
      </c>
      <c r="M15" s="22"/>
      <c r="O15" s="23"/>
    </row>
    <row r="16" spans="1:16" x14ac:dyDescent="0.25">
      <c r="A16" s="17">
        <f t="shared" si="0"/>
        <v>44</v>
      </c>
      <c r="B16" s="7">
        <f t="shared" si="4"/>
        <v>4</v>
      </c>
      <c r="C16" s="18">
        <f t="shared" si="1"/>
        <v>2.3400016555511716</v>
      </c>
      <c r="D16" s="19">
        <f>SUM($C$13:C15)+($C$5*$C$2)/(1+$C$8/2)^B16+($C$5*$C$2)/(1+$C$8/2)^B17+($C$5*$C$2)/(1+$C$8/2)^B18</f>
        <v>15.985394457425224</v>
      </c>
      <c r="E16" s="29">
        <f t="shared" si="2"/>
        <v>3.6631277777468361E-3</v>
      </c>
      <c r="F16" s="29">
        <f t="shared" si="3"/>
        <v>0.9963368722222532</v>
      </c>
      <c r="G16" s="29">
        <f>PRODUCT(F$13:F16)</f>
        <v>0.99134232317927984</v>
      </c>
      <c r="H16" s="20">
        <f>PRODUCT($F$13:F15)*E16</f>
        <v>3.6447648406251502E-3</v>
      </c>
      <c r="I16" s="29">
        <f t="shared" si="5"/>
        <v>5.826300368194761E-2</v>
      </c>
      <c r="M16" s="22"/>
      <c r="O16" s="23"/>
    </row>
    <row r="17" spans="1:20" x14ac:dyDescent="0.25">
      <c r="A17" s="17">
        <f t="shared" si="0"/>
        <v>43</v>
      </c>
      <c r="B17" s="7">
        <f t="shared" si="4"/>
        <v>5</v>
      </c>
      <c r="C17" s="18">
        <f t="shared" si="1"/>
        <v>2.1767457260941132</v>
      </c>
      <c r="D17" s="19">
        <f>SUM($C$13:C16)+($C$5*$C$2)/(1+$C$8/2)^B17+($C$5*$C$2)/(1+$C$8/2)^B18+($C$5*$C$2)/(1+$C$8/2)^B19</f>
        <v>18.052312083312579</v>
      </c>
      <c r="E17" s="29">
        <f t="shared" si="2"/>
        <v>5.4103693732700832E-3</v>
      </c>
      <c r="F17" s="29">
        <f t="shared" si="3"/>
        <v>0.99458963062672989</v>
      </c>
      <c r="G17" s="29">
        <f>PRODUCT(F$13:F17)</f>
        <v>0.98597879503552421</v>
      </c>
      <c r="H17" s="20">
        <f>PRODUCT($F$13:F16)*E17</f>
        <v>5.3635281437555884E-3</v>
      </c>
      <c r="I17" s="29">
        <f t="shared" si="5"/>
        <v>9.6824083918706089E-2</v>
      </c>
      <c r="M17" s="22"/>
      <c r="O17" s="23"/>
    </row>
    <row r="18" spans="1:20" x14ac:dyDescent="0.25">
      <c r="A18" s="17">
        <f t="shared" si="0"/>
        <v>42</v>
      </c>
      <c r="B18" s="7">
        <f t="shared" si="4"/>
        <v>6</v>
      </c>
      <c r="C18" s="18">
        <f t="shared" si="1"/>
        <v>2.0248797452038265</v>
      </c>
      <c r="D18" s="19">
        <f>SUM($C$13:C17)+($C$5*$C$2)/(1+$C$8/2)^B18+($C$5*$C$2)/(1+$C$8/2)^B19+($C$5*$C$2)/(1+$C$8/2)^B20</f>
        <v>19.965463186179072</v>
      </c>
      <c r="E18" s="29">
        <f t="shared" si="2"/>
        <v>7.8327790197974135E-3</v>
      </c>
      <c r="F18" s="29">
        <f t="shared" si="3"/>
        <v>0.9921672209802026</v>
      </c>
      <c r="G18" s="29">
        <f>PRODUCT(F$13:F18)</f>
        <v>0.97825584101580487</v>
      </c>
      <c r="H18" s="20">
        <f>PRODUCT($F$13:F17)*E18</f>
        <v>7.7229540197193882E-3</v>
      </c>
      <c r="I18" s="29">
        <f t="shared" si="5"/>
        <v>0.15419235416926114</v>
      </c>
      <c r="M18" s="22"/>
      <c r="O18" s="23"/>
    </row>
    <row r="19" spans="1:20" x14ac:dyDescent="0.25">
      <c r="A19" s="17">
        <f t="shared" si="0"/>
        <v>41</v>
      </c>
      <c r="B19" s="7">
        <f t="shared" si="4"/>
        <v>7</v>
      </c>
      <c r="C19" s="18">
        <f t="shared" si="1"/>
        <v>1.8836090653058848</v>
      </c>
      <c r="D19" s="19">
        <f>SUM($C$13:C18)+($C$5*$C$2)/(1+$C$8/2)^B19+($C$5*$C$2)/(1+$C$8/2)^B20+($C$5*$C$2)/(1+$C$8/2)^B21</f>
        <v>21.73590796687747</v>
      </c>
      <c r="E19" s="29">
        <f t="shared" si="2"/>
        <v>1.1115242522296613E-2</v>
      </c>
      <c r="F19" s="29">
        <f t="shared" si="3"/>
        <v>0.98888475747770344</v>
      </c>
      <c r="G19" s="29">
        <f>PRODUCT(F$13:F19)</f>
        <v>0.96738229009406096</v>
      </c>
      <c r="H19" s="20">
        <f>PRODUCT($F$13:F18)*E19</f>
        <v>1.087355092174391E-2</v>
      </c>
      <c r="I19" s="29">
        <f t="shared" si="5"/>
        <v>0.23634650210818131</v>
      </c>
      <c r="M19" s="22"/>
      <c r="O19" s="23"/>
      <c r="T19" s="3"/>
    </row>
    <row r="20" spans="1:20" x14ac:dyDescent="0.25">
      <c r="A20" s="17">
        <f t="shared" si="0"/>
        <v>40</v>
      </c>
      <c r="B20" s="7">
        <f t="shared" si="4"/>
        <v>8</v>
      </c>
      <c r="C20" s="18">
        <f t="shared" si="1"/>
        <v>1.7521944793543116</v>
      </c>
      <c r="D20" s="19">
        <f>SUM($C$13:C19)+($C$5*$C$2)/(1+$C$8/2)^B20+($C$5*$C$2)/(1+$C$8/2)^B21+($C$5*$C$2)/(1+$C$8/2)^B22</f>
        <v>23.373923437100899</v>
      </c>
      <c r="E20" s="29">
        <f t="shared" si="2"/>
        <v>1.546094808865995E-2</v>
      </c>
      <c r="F20" s="29">
        <f t="shared" si="3"/>
        <v>0.98453905191134006</v>
      </c>
      <c r="G20" s="29">
        <f>PRODUCT(F$13:F20)</f>
        <v>0.95242564272502772</v>
      </c>
      <c r="H20" s="20">
        <f>PRODUCT($F$13:F19)*E20</f>
        <v>1.4956647369033257E-2</v>
      </c>
      <c r="I20" s="29">
        <f t="shared" si="5"/>
        <v>0.34959553047949993</v>
      </c>
      <c r="M20" s="22"/>
      <c r="O20" s="23"/>
      <c r="T20" s="3"/>
    </row>
    <row r="21" spans="1:20" x14ac:dyDescent="0.25">
      <c r="A21" s="17">
        <f t="shared" si="0"/>
        <v>39</v>
      </c>
      <c r="B21" s="7">
        <f t="shared" si="4"/>
        <v>9</v>
      </c>
      <c r="C21" s="18">
        <f t="shared" si="1"/>
        <v>1.6299483528877317</v>
      </c>
      <c r="D21" s="19">
        <f>SUM($C$13:C20)+($C$5*$C$2)/(1+$C$8/2)^B21+($C$5*$C$2)/(1+$C$8/2)^B22+($C$5*$C$2)/(1+$C$8/2)^B23</f>
        <v>24.889058461742415</v>
      </c>
      <c r="E21" s="29">
        <f t="shared" si="2"/>
        <v>2.1079844912372869E-2</v>
      </c>
      <c r="F21" s="29">
        <f t="shared" si="3"/>
        <v>0.97892015508762709</v>
      </c>
      <c r="G21" s="29">
        <f>PRODUCT(F$13:F21)</f>
        <v>0.932348657885817</v>
      </c>
      <c r="H21" s="20">
        <f>PRODUCT($F$13:F20)*E21</f>
        <v>2.0076984839210634E-2</v>
      </c>
      <c r="I21" s="29">
        <f t="shared" si="5"/>
        <v>0.49969724939862964</v>
      </c>
      <c r="M21" s="22"/>
      <c r="O21" s="23"/>
    </row>
    <row r="22" spans="1:20" x14ac:dyDescent="0.25">
      <c r="A22" s="17">
        <f t="shared" si="0"/>
        <v>38</v>
      </c>
      <c r="B22" s="7">
        <f t="shared" si="4"/>
        <v>10</v>
      </c>
      <c r="C22" s="18">
        <f t="shared" si="1"/>
        <v>1.5162310259420764</v>
      </c>
      <c r="D22" s="19">
        <f>SUM($C$13:C21)+($C$5*$C$2)/(1+$C$8/2)^B22+($C$5*$C$2)/(1+$C$8/2)^B23+($C$5*$C$2)/(1+$C$8/2)^B24</f>
        <v>26.290184947146752</v>
      </c>
      <c r="E22" s="29">
        <f t="shared" si="2"/>
        <v>2.8171684184209001E-2</v>
      </c>
      <c r="F22" s="29">
        <f t="shared" si="3"/>
        <v>0.97182831581579099</v>
      </c>
      <c r="G22" s="29">
        <f>PRODUCT(F$13:F22)</f>
        <v>0.90608282594628664</v>
      </c>
      <c r="H22" s="20">
        <f>PRODUCT($F$13:F21)*E22</f>
        <v>2.626583193953036E-2</v>
      </c>
      <c r="I22" s="29">
        <f t="shared" si="5"/>
        <v>0.69053357948092742</v>
      </c>
      <c r="M22" s="22"/>
      <c r="O22" s="23"/>
    </row>
    <row r="23" spans="1:20" x14ac:dyDescent="0.25">
      <c r="A23" s="17">
        <f t="shared" si="0"/>
        <v>37</v>
      </c>
      <c r="B23" s="7">
        <f t="shared" si="4"/>
        <v>11</v>
      </c>
      <c r="C23" s="18">
        <f t="shared" si="1"/>
        <v>1.4104474659926289</v>
      </c>
      <c r="D23" s="19">
        <f>SUM($C$13:C22)+($C$5*$C$2)/(1+$C$8/2)^B23+($C$5*$C$2)/(1+$C$8/2)^B24+($C$5*$C$2)/(1+$C$8/2)^B25</f>
        <v>27.585545444629954</v>
      </c>
      <c r="E23" s="29">
        <f t="shared" si="2"/>
        <v>3.6903904798597856E-2</v>
      </c>
      <c r="F23" s="29">
        <f t="shared" si="3"/>
        <v>0.96309609520140216</v>
      </c>
      <c r="G23" s="29">
        <f>PRODUCT(F$13:F23)</f>
        <v>0.87264483159792039</v>
      </c>
      <c r="H23" s="20">
        <f>PRODUCT($F$13:F22)*E23</f>
        <v>3.3437994348366272E-2</v>
      </c>
      <c r="I23" s="29">
        <f t="shared" si="5"/>
        <v>0.92240531267413739</v>
      </c>
      <c r="M23" s="22"/>
      <c r="O23" s="23"/>
    </row>
    <row r="24" spans="1:20" x14ac:dyDescent="0.25">
      <c r="A24" s="17">
        <f t="shared" si="0"/>
        <v>36</v>
      </c>
      <c r="B24" s="7">
        <f t="shared" si="4"/>
        <v>12</v>
      </c>
      <c r="C24" s="18">
        <f t="shared" si="1"/>
        <v>1.3120441544117478</v>
      </c>
      <c r="D24" s="19">
        <f>SUM($C$13:C23)+($C$5*$C$2)/(1+$C$8/2)^B24+($C$5*$C$2)/(1+$C$8/2)^B25+($C$5*$C$2)/(1+$C$8/2)^B26</f>
        <v>28.782797419832164</v>
      </c>
      <c r="E24" s="29">
        <f t="shared" si="2"/>
        <v>4.7385551736424357E-2</v>
      </c>
      <c r="F24" s="29">
        <f t="shared" si="3"/>
        <v>0.95261444826357566</v>
      </c>
      <c r="G24" s="29">
        <f>PRODUCT(F$13:F24)</f>
        <v>0.83129407478271378</v>
      </c>
      <c r="H24" s="20">
        <f>PRODUCT($F$13:F23)*E24</f>
        <v>4.1350756815206578E-2</v>
      </c>
      <c r="I24" s="29">
        <f t="shared" si="5"/>
        <v>1.1901904565688353</v>
      </c>
      <c r="M24" s="22"/>
      <c r="O24" s="23"/>
    </row>
    <row r="25" spans="1:20" x14ac:dyDescent="0.25">
      <c r="A25" s="17">
        <f t="shared" si="0"/>
        <v>35</v>
      </c>
      <c r="B25" s="7">
        <f t="shared" si="4"/>
        <v>13</v>
      </c>
      <c r="C25" s="18">
        <f t="shared" si="1"/>
        <v>1.220506190150463</v>
      </c>
      <c r="D25" s="19">
        <f>SUM($C$13:C24)+($C$5*$C$2)/(1+$C$8/2)^B25+($C$5*$C$2)/(1+$C$8/2)^B26+($C$5*$C$2)/(1+$C$8/2)^B27</f>
        <v>29.889054420971306</v>
      </c>
      <c r="E25" s="29">
        <f t="shared" si="2"/>
        <v>5.963945588597748E-2</v>
      </c>
      <c r="F25" s="29">
        <f t="shared" si="3"/>
        <v>0.94036054411402248</v>
      </c>
      <c r="G25" s="29">
        <f>PRODUCT(F$13:F25)</f>
        <v>0.78171614848143567</v>
      </c>
      <c r="H25" s="20">
        <f>PRODUCT($F$13:F24)*E25</f>
        <v>4.9577926301278122E-2</v>
      </c>
      <c r="I25" s="29">
        <f t="shared" si="5"/>
        <v>1.4818373372978064</v>
      </c>
      <c r="M25" s="22"/>
      <c r="O25" s="23"/>
    </row>
    <row r="26" spans="1:20" x14ac:dyDescent="0.25">
      <c r="A26" s="17">
        <f t="shared" si="0"/>
        <v>34</v>
      </c>
      <c r="B26" s="7">
        <f t="shared" si="4"/>
        <v>14</v>
      </c>
      <c r="C26" s="18">
        <f t="shared" si="1"/>
        <v>1.1353545954888029</v>
      </c>
      <c r="D26" s="19">
        <f>SUM($C$13:C25)+($C$5*$C$2)/(1+$C$8/2)^B26+($C$5*$C$2)/(1+$C$8/2)^B27+($C$5*$C$2)/(1+$C$8/2)^B28</f>
        <v>30.910924362789139</v>
      </c>
      <c r="E26" s="29">
        <f t="shared" si="2"/>
        <v>7.357588823428847E-2</v>
      </c>
      <c r="F26" s="29">
        <f t="shared" si="3"/>
        <v>0.92642411176571149</v>
      </c>
      <c r="G26" s="29">
        <f>PRODUCT(F$13:F26)</f>
        <v>0.72420068850982711</v>
      </c>
      <c r="H26" s="20">
        <f>PRODUCT($F$13:F25)*E26</f>
        <v>5.7515459971608562E-2</v>
      </c>
      <c r="I26" s="29">
        <f t="shared" si="5"/>
        <v>1.7778560328734185</v>
      </c>
      <c r="M26" s="22"/>
      <c r="O26" s="23"/>
    </row>
    <row r="27" spans="1:20" x14ac:dyDescent="0.25">
      <c r="A27" s="17">
        <f t="shared" si="0"/>
        <v>33</v>
      </c>
      <c r="B27" s="7">
        <f t="shared" si="4"/>
        <v>15</v>
      </c>
      <c r="C27" s="18">
        <f t="shared" si="1"/>
        <v>1.0561438097570259</v>
      </c>
      <c r="D27" s="19">
        <f>SUM($C$13:C26)+($C$5*$C$2)/(1+$C$8/2)^B27+($C$5*$C$2)/(1+$C$8/2)^B28+($C$5*$C$2)/(1+$C$8/2)^B29</f>
        <v>31.854545127841039</v>
      </c>
      <c r="E27" s="29">
        <f t="shared" si="2"/>
        <v>8.897161324458823E-2</v>
      </c>
      <c r="F27" s="29">
        <f t="shared" si="3"/>
        <v>0.91102838675541176</v>
      </c>
      <c r="G27" s="29">
        <f>PRODUCT(F$13:F27)</f>
        <v>0.65976738494026621</v>
      </c>
      <c r="H27" s="20">
        <f>PRODUCT($F$13:F26)*E27</f>
        <v>6.4433303569560854E-2</v>
      </c>
      <c r="I27" s="29">
        <f t="shared" si="5"/>
        <v>2.0524935762924574</v>
      </c>
      <c r="M27" s="22"/>
      <c r="O27" s="23"/>
    </row>
    <row r="28" spans="1:20" x14ac:dyDescent="0.25">
      <c r="A28" s="17">
        <f t="shared" si="0"/>
        <v>32</v>
      </c>
      <c r="B28" s="7">
        <f t="shared" si="4"/>
        <v>16</v>
      </c>
      <c r="C28" s="18">
        <f t="shared" si="1"/>
        <v>0.98245935791351269</v>
      </c>
      <c r="D28" s="19">
        <f>SUM($C$13:C27)+($C$5*$C$2)/(1+$C$8/2)^B28+($C$5*$C$2)/(1+$C$8/2)^B29+($C$5*$C$2)/(1+$C$8/2)^B30</f>
        <v>32.725617672697581</v>
      </c>
      <c r="E28" s="29">
        <f t="shared" si="2"/>
        <v>0.10545848480860971</v>
      </c>
      <c r="F28" s="29">
        <f t="shared" si="3"/>
        <v>0.89454151519139025</v>
      </c>
      <c r="G28" s="29">
        <f>PRODUCT(F$13:F28)</f>
        <v>0.59018931619832693</v>
      </c>
      <c r="H28" s="20">
        <f>PRODUCT($F$13:F27)*E28</f>
        <v>6.9578068741939225E-2</v>
      </c>
      <c r="I28" s="29">
        <f t="shared" si="5"/>
        <v>2.2769852760533733</v>
      </c>
      <c r="M28" s="22"/>
      <c r="O28" s="23"/>
    </row>
    <row r="29" spans="1:20" x14ac:dyDescent="0.25">
      <c r="A29" s="17">
        <f t="shared" si="0"/>
        <v>31</v>
      </c>
      <c r="B29" s="7">
        <f t="shared" si="4"/>
        <v>17</v>
      </c>
      <c r="C29" s="18">
        <f t="shared" si="1"/>
        <v>0.91391568178001181</v>
      </c>
      <c r="D29" s="19">
        <f>SUM($C$13:C28)+($C$5*$C$2)/(1+$C$8/2)^B29+($C$5*$C$2)/(1+$C$8/2)^B30+($C$5*$C$2)/(1+$C$8/2)^B31</f>
        <v>33.529436813525678</v>
      </c>
      <c r="E29" s="29">
        <f t="shared" si="2"/>
        <v>0.12252527883688323</v>
      </c>
      <c r="F29" s="29">
        <f t="shared" si="3"/>
        <v>0.87747472116311676</v>
      </c>
      <c r="G29" s="29">
        <f>PRODUCT(F$13:F29)</f>
        <v>0.51787620566457748</v>
      </c>
      <c r="H29" s="20">
        <f>PRODUCT($F$13:F28)*E29</f>
        <v>7.2313110533749447E-2</v>
      </c>
      <c r="I29" s="29">
        <f t="shared" si="5"/>
        <v>2.4246178704308501</v>
      </c>
      <c r="M29" s="22"/>
      <c r="O29" s="23"/>
    </row>
    <row r="30" spans="1:20" x14ac:dyDescent="0.25">
      <c r="A30" s="17">
        <f t="shared" si="0"/>
        <v>30</v>
      </c>
      <c r="B30" s="7">
        <f t="shared" si="4"/>
        <v>18</v>
      </c>
      <c r="C30" s="18">
        <f t="shared" si="1"/>
        <v>0.8501541225860576</v>
      </c>
      <c r="D30" s="19">
        <f>SUM($C$13:C29)+($C$5*$C$2)/(1+$C$8/2)^B30+($C$5*$C$2)/(1+$C$8/2)^B31+($C$5*$C$2)/(1+$C$8/2)^B32</f>
        <v>34.27091985333135</v>
      </c>
      <c r="E30" s="29">
        <f t="shared" si="2"/>
        <v>0.1395352652142062</v>
      </c>
      <c r="F30" s="29">
        <f t="shared" si="3"/>
        <v>0.86046473478579377</v>
      </c>
      <c r="G30" s="29">
        <f>PRODUCT(F$13:F30)</f>
        <v>0.44561421195904383</v>
      </c>
      <c r="H30" s="20">
        <f>PRODUCT($F$13:F29)*E30</f>
        <v>7.2261993705533614E-2</v>
      </c>
      <c r="I30" s="29">
        <f t="shared" si="5"/>
        <v>2.4764849947242769</v>
      </c>
      <c r="M30" s="22"/>
      <c r="O30" s="23"/>
    </row>
    <row r="31" spans="1:20" x14ac:dyDescent="0.25">
      <c r="A31" s="17">
        <f t="shared" si="0"/>
        <v>29</v>
      </c>
      <c r="B31" s="7">
        <f t="shared" si="4"/>
        <v>19</v>
      </c>
      <c r="C31" s="18">
        <f t="shared" si="1"/>
        <v>0.79084104426610002</v>
      </c>
      <c r="D31" s="19">
        <f>SUM($C$13:C30)+($C$5*$C$2)/(1+$C$8/2)^B31+($C$5*$C$2)/(1+$C$8/2)^B32+($C$5*$C$2)/(1+$C$8/2)^B33</f>
        <v>34.954633201810914</v>
      </c>
      <c r="E31" s="29">
        <f t="shared" si="2"/>
        <v>0.155760156614281</v>
      </c>
      <c r="F31" s="29">
        <f t="shared" si="3"/>
        <v>0.844239843385719</v>
      </c>
      <c r="G31" s="29">
        <f>PRODUCT(F$13:F31)</f>
        <v>0.37620527251475377</v>
      </c>
      <c r="H31" s="20">
        <f>PRODUCT($F$13:F30)*E31</f>
        <v>6.940893944429008E-2</v>
      </c>
      <c r="I31" s="29">
        <f t="shared" si="5"/>
        <v>2.426164019201865</v>
      </c>
      <c r="M31" s="22"/>
      <c r="O31" s="23"/>
    </row>
    <row r="32" spans="1:20" x14ac:dyDescent="0.25">
      <c r="A32" s="17">
        <f t="shared" si="0"/>
        <v>28</v>
      </c>
      <c r="B32" s="7">
        <f t="shared" si="4"/>
        <v>20</v>
      </c>
      <c r="C32" s="18">
        <f t="shared" si="1"/>
        <v>0.73566608768939545</v>
      </c>
      <c r="D32" s="19">
        <f>SUM($C$13:C31)+($C$5*$C$2)/(1+$C$8/2)^B32+($C$5*$C$2)/(1+$C$8/2)^B33+($C$5*$C$2)/(1+$C$8/2)^B34</f>
        <v>35.584817128213594</v>
      </c>
      <c r="E32" s="29">
        <f t="shared" si="2"/>
        <v>0.17042875779324229</v>
      </c>
      <c r="F32" s="29">
        <f t="shared" si="3"/>
        <v>0.82957124220675771</v>
      </c>
      <c r="G32" s="29">
        <f>PRODUCT(F$13:F32)</f>
        <v>0.31208907524479607</v>
      </c>
      <c r="H32" s="20">
        <f>PRODUCT($F$13:F31)*E32</f>
        <v>6.4116197269957681E-2</v>
      </c>
      <c r="I32" s="29">
        <f t="shared" si="5"/>
        <v>2.2815631548079116</v>
      </c>
      <c r="M32" s="22"/>
      <c r="O32" s="23"/>
    </row>
    <row r="33" spans="1:15" x14ac:dyDescent="0.25">
      <c r="A33" s="17">
        <f t="shared" si="0"/>
        <v>27</v>
      </c>
      <c r="B33" s="7">
        <f t="shared" si="4"/>
        <v>21</v>
      </c>
      <c r="C33" s="18">
        <f t="shared" si="1"/>
        <v>0.68434054668780964</v>
      </c>
      <c r="D33" s="19">
        <f>SUM($C$13:C32)+($C$5*$C$2)/(1+$C$8/2)^B33+($C$5*$C$2)/(1+$C$8/2)^B34+($C$5*$C$2)/(1+$C$8/2)^B35</f>
        <v>36.165408777810889</v>
      </c>
      <c r="E33" s="29">
        <f t="shared" si="2"/>
        <v>0.18278623705424565</v>
      </c>
      <c r="F33" s="29">
        <f t="shared" si="3"/>
        <v>0.81721376294575432</v>
      </c>
      <c r="G33" s="29">
        <f>PRODUCT(F$13:F33)</f>
        <v>0.25504348755506046</v>
      </c>
      <c r="H33" s="20">
        <f>PRODUCT($F$13:F32)*E33</f>
        <v>5.7045587689735604E-2</v>
      </c>
      <c r="I33" s="29">
        <f t="shared" si="5"/>
        <v>2.0630769977697447</v>
      </c>
      <c r="M33" s="22"/>
      <c r="O33" s="23"/>
    </row>
    <row r="34" spans="1:15" x14ac:dyDescent="0.25">
      <c r="A34" s="17">
        <f t="shared" si="0"/>
        <v>26</v>
      </c>
      <c r="B34" s="7">
        <f t="shared" si="4"/>
        <v>22</v>
      </c>
      <c r="C34" s="18">
        <f t="shared" si="1"/>
        <v>0.63659585738400903</v>
      </c>
      <c r="D34" s="19">
        <f>SUM($C$13:C33)+($C$5*$C$2)/(1+$C$8/2)^B34+($C$5*$C$2)/(1+$C$8/2)^B35+($C$5*$C$2)/(1+$C$8/2)^B36</f>
        <v>36.700063573444545</v>
      </c>
      <c r="E34" s="29">
        <f t="shared" si="2"/>
        <v>0.19215788783046464</v>
      </c>
      <c r="F34" s="29">
        <f t="shared" si="3"/>
        <v>0.80784211216953539</v>
      </c>
      <c r="G34" s="29">
        <f>PRODUCT(F$13:F34)</f>
        <v>0.20603486968156465</v>
      </c>
      <c r="H34" s="20">
        <f>PRODUCT($F$13:F33)*E34</f>
        <v>4.9008617873495815E-2</v>
      </c>
      <c r="I34" s="29">
        <f t="shared" si="5"/>
        <v>1.798619391603947</v>
      </c>
    </row>
    <row r="35" spans="1:15" x14ac:dyDescent="0.25">
      <c r="A35" s="17">
        <f t="shared" si="0"/>
        <v>25</v>
      </c>
      <c r="B35" s="7">
        <f t="shared" si="4"/>
        <v>23</v>
      </c>
      <c r="C35" s="18">
        <f t="shared" si="1"/>
        <v>0.59218219291535723</v>
      </c>
      <c r="D35" s="19">
        <f>SUM($C$13:C34)+($C$5*$C$2)/(1+$C$8/2)^B35+($C$5*$C$2)/(1+$C$8/2)^B36+($C$5*$C$2)/(1+$C$8/2)^B37</f>
        <v>37.192175115139214</v>
      </c>
      <c r="E35" s="29">
        <f t="shared" si="2"/>
        <v>0.19800996674983362</v>
      </c>
      <c r="F35" s="29">
        <f t="shared" si="3"/>
        <v>0.80199003325016638</v>
      </c>
      <c r="G35" s="29">
        <f>PRODUCT(F$13:F35)</f>
        <v>0.16523791198661172</v>
      </c>
      <c r="H35" s="20">
        <f>PRODUCT($F$13:F34)*E35</f>
        <v>4.0796957694952916E-2</v>
      </c>
      <c r="I35" s="29">
        <f t="shared" si="5"/>
        <v>1.5173275947556151</v>
      </c>
    </row>
    <row r="36" spans="1:15" x14ac:dyDescent="0.25">
      <c r="A36" s="17">
        <f t="shared" si="0"/>
        <v>24</v>
      </c>
      <c r="B36" s="7">
        <f t="shared" si="4"/>
        <v>24</v>
      </c>
      <c r="C36" s="18">
        <f t="shared" si="1"/>
        <v>0.55086715620033233</v>
      </c>
      <c r="D36" s="19">
        <f>SUM($C$13:C35)+($C$5*$C$2)/(1+$C$8/2)^B36+($C$5*$C$2)/(1+$C$8/2)^B37+($C$5*$C$2)/(1+$C$8/2)^B38</f>
        <v>37.644893682871817</v>
      </c>
      <c r="E36" s="29">
        <f>EXP(-0.01*((B36-$C$3)^2))*0.2</f>
        <v>0.2</v>
      </c>
      <c r="F36" s="29">
        <f t="shared" si="3"/>
        <v>0.8</v>
      </c>
      <c r="G36" s="29">
        <f>PRODUCT(F$13:F36)</f>
        <v>0.13219032958928939</v>
      </c>
      <c r="H36" s="20">
        <f>PRODUCT($F$13:F35)*E36</f>
        <v>3.3047582397322348E-2</v>
      </c>
      <c r="I36" s="29">
        <f t="shared" si="5"/>
        <v>1.2440727258231459</v>
      </c>
    </row>
    <row r="37" spans="1:15" x14ac:dyDescent="0.25">
      <c r="A37" s="17">
        <f t="shared" si="0"/>
        <v>23</v>
      </c>
      <c r="B37" s="7">
        <f t="shared" si="4"/>
        <v>25</v>
      </c>
      <c r="C37" s="18">
        <f t="shared" si="1"/>
        <v>0.51243456390728581</v>
      </c>
      <c r="D37" s="19">
        <f>SUM($C$13:C36)+($C$5*$C$2)/(1+$C$8/2)^B37+($C$5*$C$2)/(1+$C$8/2)^B38+($C$5*$C$2)/(1+$C$8/2)^B39</f>
        <v>38.061143440247093</v>
      </c>
      <c r="E37" s="29">
        <f>EXP(-0.01*((B37-$C$3)^2))*0.2</f>
        <v>0.19800996674983362</v>
      </c>
      <c r="F37" s="29">
        <f t="shared" si="3"/>
        <v>0.80199003325016638</v>
      </c>
      <c r="G37" s="29">
        <f>PRODUCT(F$13:F37)</f>
        <v>0.10601532682266465</v>
      </c>
      <c r="H37" s="20">
        <f>PRODUCT($F$13:F36)*E37</f>
        <v>2.6175002766624739E-2</v>
      </c>
      <c r="I37" s="29">
        <f t="shared" si="5"/>
        <v>0.99625053484936865</v>
      </c>
    </row>
    <row r="38" spans="1:15" x14ac:dyDescent="0.25">
      <c r="A38" s="17">
        <f t="shared" si="0"/>
        <v>22</v>
      </c>
      <c r="B38" s="7">
        <f t="shared" si="4"/>
        <v>26</v>
      </c>
      <c r="C38" s="18">
        <f t="shared" si="1"/>
        <v>0.47668331526259161</v>
      </c>
      <c r="D38" s="19">
        <f>SUM($C$13:C37)+($C$5*$C$2)/(1+$C$8/2)^B38+($C$5*$C$2)/(1+$C$8/2)^B39+($C$5*$C$2)/(1+$C$8/2)^B40</f>
        <v>38.44363842999892</v>
      </c>
      <c r="E38" s="29">
        <f t="shared" ref="E38:E60" si="6">EXP(-0.01*((B38-$C$3)^2))*0.2</f>
        <v>0.19215788783046464</v>
      </c>
      <c r="F38" s="29">
        <f t="shared" si="3"/>
        <v>0.80784211216953539</v>
      </c>
      <c r="G38" s="29">
        <f>PRODUCT(F$13:F38)</f>
        <v>8.5643645542765018E-2</v>
      </c>
      <c r="H38" s="20">
        <f>PRODUCT($F$13:F37)*E38</f>
        <v>2.0371681279899644E-2</v>
      </c>
      <c r="I38" s="29">
        <f t="shared" si="5"/>
        <v>0.78316154933563953</v>
      </c>
    </row>
    <row r="39" spans="1:15" x14ac:dyDescent="0.25">
      <c r="A39" s="17">
        <f t="shared" si="0"/>
        <v>21</v>
      </c>
      <c r="B39" s="7">
        <f t="shared" si="4"/>
        <v>27</v>
      </c>
      <c r="C39" s="18">
        <f t="shared" si="1"/>
        <v>0.44342633977915497</v>
      </c>
      <c r="D39" s="19">
        <f>SUM($C$13:C38)+($C$5*$C$2)/(1+$C$8/2)^B39+($C$5*$C$2)/(1+$C$8/2)^B40+($C$5*$C$2)/(1+$C$8/2)^B41</f>
        <v>38.794897445883656</v>
      </c>
      <c r="E39" s="29">
        <f t="shared" si="6"/>
        <v>0.18278623705424565</v>
      </c>
      <c r="F39" s="29">
        <f t="shared" si="3"/>
        <v>0.81721376294575432</v>
      </c>
      <c r="G39" s="29">
        <f>PRODUCT(F$13:F39)</f>
        <v>6.9989165846395376E-2</v>
      </c>
      <c r="H39" s="20">
        <f>PRODUCT($F$13:F38)*E39</f>
        <v>1.5654479696369634E-2</v>
      </c>
      <c r="I39" s="29">
        <f>D39*H39</f>
        <v>0.6073139343893279</v>
      </c>
    </row>
    <row r="40" spans="1:15" x14ac:dyDescent="0.25">
      <c r="A40" s="17">
        <f t="shared" si="0"/>
        <v>20</v>
      </c>
      <c r="B40" s="7">
        <f t="shared" si="4"/>
        <v>28</v>
      </c>
      <c r="C40" s="18">
        <f>$C$5*$C$2/(1+$C$7/2)^B40</f>
        <v>0.41248961839921394</v>
      </c>
      <c r="D40" s="19">
        <f>SUM($C$13:C39)+($C$5*$C$2)/(1+$C$8/2)^B40+($C$5*$C$2)/(1+$C$8/2)^B41+($C$5*$C$2)/(1+$C$8/2)^B42</f>
        <v>39.117257859622413</v>
      </c>
      <c r="E40" s="29">
        <f t="shared" si="6"/>
        <v>0.17042875779324229</v>
      </c>
      <c r="F40" s="29">
        <f t="shared" si="3"/>
        <v>0.82957124220675771</v>
      </c>
      <c r="G40" s="29">
        <f>PRODUCT(F$13:F40)</f>
        <v>5.8060999252208992E-2</v>
      </c>
      <c r="H40" s="20">
        <f>PRODUCT($F$13:F39)*E40</f>
        <v>1.1928166594186383E-2</v>
      </c>
      <c r="I40" s="29">
        <f t="shared" si="5"/>
        <v>0.4665971684573228</v>
      </c>
    </row>
    <row r="41" spans="1:15" x14ac:dyDescent="0.25">
      <c r="A41" s="17">
        <f t="shared" si="0"/>
        <v>19</v>
      </c>
      <c r="B41" s="7">
        <f t="shared" si="4"/>
        <v>29</v>
      </c>
      <c r="C41" s="18">
        <f t="shared" si="1"/>
        <v>0.38371127292950125</v>
      </c>
      <c r="D41" s="19">
        <f>SUM($C$13:C40)+($C$5*$C$2)/(1+$C$8/2)^B41+($C$5*$C$2)/(1+$C$8/2)^B42+($C$5*$C$2)/(1+$C$8/2)^B43</f>
        <v>39.412888476052132</v>
      </c>
      <c r="E41" s="29">
        <f t="shared" si="6"/>
        <v>0.155760156614281</v>
      </c>
      <c r="F41" s="29">
        <f t="shared" si="3"/>
        <v>0.844239843385719</v>
      </c>
      <c r="G41" s="29">
        <f>PRODUCT(F$13:F41)</f>
        <v>4.9017408915503269E-2</v>
      </c>
      <c r="H41" s="20">
        <f>PRODUCT($F$13:F40)*E41</f>
        <v>9.0435903367057247E-3</v>
      </c>
      <c r="I41" s="29">
        <f t="shared" si="5"/>
        <v>0.35643401736368546</v>
      </c>
    </row>
    <row r="42" spans="1:15" x14ac:dyDescent="0.25">
      <c r="A42" s="17">
        <f t="shared" si="0"/>
        <v>18</v>
      </c>
      <c r="B42" s="7">
        <f t="shared" si="4"/>
        <v>30</v>
      </c>
      <c r="C42" s="18">
        <f t="shared" si="1"/>
        <v>0.35694071900418728</v>
      </c>
      <c r="D42" s="19">
        <f>SUM($C$13:C41)+($C$5*$C$2)/(1+$C$8/2)^B42+($C$5*$C$2)/(1+$C$8/2)^B43+($C$5*$C$2)/(1+$C$8/2)^B44</f>
        <v>39.68380148453231</v>
      </c>
      <c r="E42" s="29">
        <f t="shared" si="6"/>
        <v>0.1395352652142062</v>
      </c>
      <c r="F42" s="29">
        <f t="shared" si="3"/>
        <v>0.86046473478579377</v>
      </c>
      <c r="G42" s="29">
        <f>PRODUCT(F$13:F42)</f>
        <v>4.2177751762365323E-2</v>
      </c>
      <c r="H42" s="20">
        <f>PRODUCT($F$13:F41)*E42</f>
        <v>6.839657153137944E-3</v>
      </c>
      <c r="I42" s="29">
        <f t="shared" si="5"/>
        <v>0.27142359668738758</v>
      </c>
    </row>
    <row r="43" spans="1:15" x14ac:dyDescent="0.25">
      <c r="A43" s="17">
        <f t="shared" si="0"/>
        <v>17</v>
      </c>
      <c r="B43" s="7">
        <f t="shared" si="4"/>
        <v>31</v>
      </c>
      <c r="C43" s="18">
        <f t="shared" si="1"/>
        <v>0.33203787814343</v>
      </c>
      <c r="D43" s="19">
        <f>SUM($C$13:C42)+($C$5*$C$2)/(1+$C$8/2)^B43+($C$5*$C$2)/(1+$C$8/2)^B44+($C$5*$C$2)/(1+$C$8/2)^B45</f>
        <v>39.931863569898155</v>
      </c>
      <c r="E43" s="29">
        <f t="shared" si="6"/>
        <v>0.12252527883688323</v>
      </c>
      <c r="F43" s="29">
        <f t="shared" si="3"/>
        <v>0.87747472116311676</v>
      </c>
      <c r="G43" s="29">
        <f>PRODUCT(F$13:F43)</f>
        <v>3.7009910966968665E-2</v>
      </c>
      <c r="H43" s="20">
        <f>PRODUCT($F$13:F42)*E43</f>
        <v>5.1678407953966547E-3</v>
      </c>
      <c r="I43" s="29">
        <f t="shared" si="5"/>
        <v>0.20636151359273319</v>
      </c>
    </row>
    <row r="44" spans="1:15" x14ac:dyDescent="0.25">
      <c r="A44" s="17">
        <f t="shared" si="0"/>
        <v>16</v>
      </c>
      <c r="B44" s="7">
        <f t="shared" si="4"/>
        <v>32</v>
      </c>
      <c r="C44" s="18">
        <f t="shared" si="1"/>
        <v>0.30887244478458609</v>
      </c>
      <c r="D44" s="19">
        <f>SUM($C$13:C43)+($C$5*$C$2)/(1+$C$8/2)^B44+($C$5*$C$2)/(1+$C$8/2)^B45+($C$5*$C$2)/(1+$C$8/2)^B46</f>
        <v>40.158806241826966</v>
      </c>
      <c r="E44" s="29">
        <f t="shared" si="6"/>
        <v>0.10545848480860971</v>
      </c>
      <c r="F44" s="29">
        <f t="shared" si="3"/>
        <v>0.89454151519139025</v>
      </c>
      <c r="G44" s="29">
        <f>PRODUCT(F$13:F44)</f>
        <v>3.3106901833490597E-2</v>
      </c>
      <c r="H44" s="20">
        <f>PRODUCT($F$13:F43)*E44</f>
        <v>3.9030091334780631E-3</v>
      </c>
      <c r="I44" s="29">
        <f t="shared" si="5"/>
        <v>0.15674018755142649</v>
      </c>
    </row>
    <row r="45" spans="1:15" x14ac:dyDescent="0.25">
      <c r="A45" s="17">
        <f t="shared" si="0"/>
        <v>15</v>
      </c>
      <c r="B45" s="7">
        <f t="shared" si="4"/>
        <v>33</v>
      </c>
      <c r="C45" s="18">
        <f t="shared" si="1"/>
        <v>0.28732320445077775</v>
      </c>
      <c r="D45" s="19">
        <f>SUM($C$13:C44)+($C$5*$C$2)/(1+$C$8/2)^B45+($C$5*$C$2)/(1+$C$8/2)^B46+($C$5*$C$2)/(1+$C$8/2)^B47</f>
        <v>40.366235437369646</v>
      </c>
      <c r="E45" s="29">
        <f t="shared" si="6"/>
        <v>8.897161324458823E-2</v>
      </c>
      <c r="F45" s="29">
        <f t="shared" si="3"/>
        <v>0.91102838675541176</v>
      </c>
      <c r="G45" s="29">
        <f>PRODUCT(F$13:F45)</f>
        <v>3.0161327367834723E-2</v>
      </c>
      <c r="H45" s="20">
        <f>PRODUCT($F$13:F44)*E45</f>
        <v>2.9455744656558744E-3</v>
      </c>
      <c r="I45" s="29">
        <f t="shared" si="5"/>
        <v>0.11890175237896931</v>
      </c>
    </row>
    <row r="46" spans="1:15" x14ac:dyDescent="0.25">
      <c r="A46" s="17">
        <f t="shared" si="0"/>
        <v>14</v>
      </c>
      <c r="B46" s="7">
        <f t="shared" si="4"/>
        <v>34</v>
      </c>
      <c r="C46" s="18">
        <f t="shared" si="1"/>
        <v>0.26727739948909562</v>
      </c>
      <c r="D46" s="19">
        <f>SUM($C$13:C45)+($C$5*$C$2)/(1+$C$8/2)^B46+($C$5*$C$2)/(1+$C$8/2)^B47+($C$5*$C$2)/(1+$C$8/2)^B48</f>
        <v>40.555640447571477</v>
      </c>
      <c r="E46" s="29">
        <f t="shared" si="6"/>
        <v>7.357588823428847E-2</v>
      </c>
      <c r="F46" s="29">
        <f t="shared" si="3"/>
        <v>0.92642411176571149</v>
      </c>
      <c r="G46" s="29">
        <f>PRODUCT(F$13:F46)</f>
        <v>2.7942180916421127E-2</v>
      </c>
      <c r="H46" s="20">
        <f>PRODUCT($F$13:F45)*E46</f>
        <v>2.2191464514135935E-3</v>
      </c>
      <c r="I46" s="29">
        <f t="shared" si="5"/>
        <v>8.9998905584033839E-2</v>
      </c>
    </row>
    <row r="47" spans="1:15" x14ac:dyDescent="0.25">
      <c r="A47" s="17">
        <f t="shared" si="0"/>
        <v>13</v>
      </c>
      <c r="B47" s="7">
        <f t="shared" si="4"/>
        <v>35</v>
      </c>
      <c r="C47" s="18">
        <f t="shared" si="1"/>
        <v>0.24863013905962383</v>
      </c>
      <c r="D47" s="19">
        <f>SUM($C$13:C46)+($C$5*$C$2)/(1+$C$8/2)^B47+($C$5*$C$2)/(1+$C$8/2)^B48+($C$5*$C$2)/(1+$C$8/2)^B49</f>
        <v>40.728402215546147</v>
      </c>
      <c r="E47" s="29">
        <f t="shared" si="6"/>
        <v>5.963945588597748E-2</v>
      </c>
      <c r="F47" s="29">
        <f t="shared" si="3"/>
        <v>0.94036054411402248</v>
      </c>
      <c r="G47" s="29">
        <f>PRODUCT(F$13:F47)</f>
        <v>2.6275724450298226E-2</v>
      </c>
      <c r="H47" s="20">
        <f>PRODUCT($F$13:F46)*E47</f>
        <v>1.6664564661228996E-3</v>
      </c>
      <c r="I47" s="29">
        <f t="shared" si="5"/>
        <v>6.7872109226951111E-2</v>
      </c>
    </row>
    <row r="48" spans="1:15" x14ac:dyDescent="0.25">
      <c r="A48" s="17">
        <f t="shared" si="0"/>
        <v>12</v>
      </c>
      <c r="B48" s="7">
        <f t="shared" si="4"/>
        <v>36</v>
      </c>
      <c r="C48" s="18">
        <f t="shared" si="1"/>
        <v>0.23128385028802215</v>
      </c>
      <c r="D48" s="19">
        <f>SUM($C$13:C47)+($C$5*$C$2)/(1+$C$8/2)^B48+($C$5*$C$2)/(1+$C$8/2)^B49+($C$5*$C$2)/(1+$C$8/2)^B50</f>
        <v>40.885801050055157</v>
      </c>
      <c r="E48" s="29">
        <f t="shared" si="6"/>
        <v>4.7385551736424357E-2</v>
      </c>
      <c r="F48" s="29">
        <f t="shared" si="3"/>
        <v>0.95261444826357566</v>
      </c>
      <c r="G48" s="29">
        <f>PRODUCT(F$13:F48)</f>
        <v>2.503063474994659E-2</v>
      </c>
      <c r="H48" s="20">
        <f>PRODUCT($F$13:F47)*E48</f>
        <v>1.2450897003516369E-3</v>
      </c>
      <c r="I48" s="29">
        <f t="shared" si="5"/>
        <v>5.0906489778049818E-2</v>
      </c>
    </row>
    <row r="49" spans="1:9" x14ac:dyDescent="0.25">
      <c r="A49" s="17">
        <f t="shared" si="0"/>
        <v>11</v>
      </c>
      <c r="B49" s="7">
        <f t="shared" si="4"/>
        <v>37</v>
      </c>
      <c r="C49" s="18">
        <f t="shared" si="1"/>
        <v>0.21514776770978805</v>
      </c>
      <c r="D49" s="19">
        <f>SUM($C$13:C48)+($C$5*$C$2)/(1+$C$8/2)^B49+($C$5*$C$2)/(1+$C$8/2)^B50+($C$5*$C$2)/(1+$C$8/2)^B51</f>
        <v>41.029023795564605</v>
      </c>
      <c r="E49" s="29">
        <f t="shared" si="6"/>
        <v>3.6903904798597856E-2</v>
      </c>
      <c r="F49" s="29">
        <f t="shared" si="3"/>
        <v>0.96309609520140216</v>
      </c>
      <c r="G49" s="29">
        <f>PRODUCT(F$13:F49)</f>
        <v>2.4106906588086088E-2</v>
      </c>
      <c r="H49" s="20">
        <f>PRODUCT($F$13:F48)*E49</f>
        <v>9.2372816186050424E-4</v>
      </c>
      <c r="I49" s="29">
        <f t="shared" si="5"/>
        <v>3.7899664733607778E-2</v>
      </c>
    </row>
    <row r="50" spans="1:9" x14ac:dyDescent="0.25">
      <c r="A50" s="17">
        <f t="shared" si="0"/>
        <v>10</v>
      </c>
      <c r="B50" s="7">
        <f t="shared" si="4"/>
        <v>38</v>
      </c>
      <c r="C50" s="18">
        <f t="shared" si="1"/>
        <v>0.2001374583346866</v>
      </c>
      <c r="D50" s="19">
        <f>SUM($C$13:C49)+($C$5*$C$2)/(1+$C$8/2)^B50+($C$5*$C$2)/(1+$C$8/2)^B51+($C$5*$C$2)/(1+$C$8/2)^B52</f>
        <v>41.159170496885807</v>
      </c>
      <c r="E50" s="29">
        <f t="shared" si="6"/>
        <v>2.8171684184209001E-2</v>
      </c>
      <c r="F50" s="29">
        <f t="shared" si="3"/>
        <v>0.97182831581579099</v>
      </c>
      <c r="G50" s="29">
        <f>PRODUCT(F$13:F50)</f>
        <v>2.3427774429028297E-2</v>
      </c>
      <c r="H50" s="20">
        <f>PRODUCT($F$13:F49)*E50</f>
        <v>6.7913215905778858E-4</v>
      </c>
      <c r="I50" s="29">
        <f t="shared" si="5"/>
        <v>2.7952516324577691E-2</v>
      </c>
    </row>
    <row r="51" spans="1:9" x14ac:dyDescent="0.25">
      <c r="A51" s="17">
        <f t="shared" si="0"/>
        <v>9</v>
      </c>
      <c r="B51" s="7">
        <f t="shared" si="4"/>
        <v>39</v>
      </c>
      <c r="C51" s="18">
        <f t="shared" si="1"/>
        <v>0.18617437984622009</v>
      </c>
      <c r="D51" s="19">
        <f>SUM($C$13:C50)+($C$5*$C$2)/(1+$C$8/2)^B51+($C$5*$C$2)/(1+$C$8/2)^B52+($C$5*$C$2)/(1+$C$8/2)^B53</f>
        <v>41.277260593841554</v>
      </c>
      <c r="E51" s="29">
        <f t="shared" si="6"/>
        <v>2.1079844912372869E-2</v>
      </c>
      <c r="F51" s="29">
        <f t="shared" si="3"/>
        <v>0.97892015508762709</v>
      </c>
      <c r="G51" s="29">
        <f>PRODUCT(F$13:F51)</f>
        <v>2.2933920577422325E-2</v>
      </c>
      <c r="H51" s="20">
        <f>PRODUCT($F$13:F50)*E51</f>
        <v>4.9385385160597133E-4</v>
      </c>
      <c r="I51" s="29">
        <f t="shared" si="5"/>
        <v>2.0384934128012035E-2</v>
      </c>
    </row>
    <row r="52" spans="1:9" x14ac:dyDescent="0.25">
      <c r="A52" s="17">
        <f t="shared" si="0"/>
        <v>8</v>
      </c>
      <c r="B52" s="7">
        <f t="shared" si="4"/>
        <v>40</v>
      </c>
      <c r="C52" s="18">
        <f t="shared" si="1"/>
        <v>0.17318546962439077</v>
      </c>
      <c r="D52" s="19">
        <f>SUM($C$13:C51)+($C$5*$C$2)/(1+$C$8/2)^B52+($C$5*$C$2)/(1+$C$8/2)^B53+($C$5*$C$2)/(1+$C$8/2)^B54</f>
        <v>41.384238678920454</v>
      </c>
      <c r="E52" s="29">
        <f t="shared" si="6"/>
        <v>1.546094808865995E-2</v>
      </c>
      <c r="F52" s="29">
        <f t="shared" si="3"/>
        <v>0.98453905191134006</v>
      </c>
      <c r="G52" s="29">
        <f>PRODUCT(F$13:F52)</f>
        <v>2.2579340421905347E-2</v>
      </c>
      <c r="H52" s="20">
        <f>PRODUCT($F$13:F51)*E52</f>
        <v>3.545801555169768E-4</v>
      </c>
      <c r="I52" s="29">
        <f t="shared" si="5"/>
        <v>1.4674029786723301E-2</v>
      </c>
    </row>
    <row r="53" spans="1:9" x14ac:dyDescent="0.25">
      <c r="A53" s="17">
        <f t="shared" si="0"/>
        <v>7</v>
      </c>
      <c r="B53" s="7">
        <f t="shared" si="4"/>
        <v>41</v>
      </c>
      <c r="C53" s="18">
        <f t="shared" si="1"/>
        <v>0.16110276244129373</v>
      </c>
      <c r="D53" s="19">
        <f>SUM($C$13:C52)+($C$5*$C$2)/(1+$C$8/2)^B53+($C$5*$C$2)/(1+$C$8/2)^B54+($C$5*$C$2)/(1+$C$8/2)^B55</f>
        <v>41.480979848576389</v>
      </c>
      <c r="E53" s="29">
        <f t="shared" si="6"/>
        <v>1.1115242522296613E-2</v>
      </c>
      <c r="F53" s="29">
        <f t="shared" si="3"/>
        <v>0.98888475747770344</v>
      </c>
      <c r="G53" s="29">
        <f>PRODUCT(F$13:F53)</f>
        <v>2.2328365577122377E-2</v>
      </c>
      <c r="H53" s="20">
        <f>PRODUCT($F$13:F52)*E53</f>
        <v>2.5097484478297307E-4</v>
      </c>
      <c r="I53" s="29">
        <f t="shared" si="5"/>
        <v>1.0410682478942094E-2</v>
      </c>
    </row>
    <row r="54" spans="1:9" x14ac:dyDescent="0.25">
      <c r="A54" s="17">
        <f t="shared" si="0"/>
        <v>6</v>
      </c>
      <c r="B54" s="7">
        <f t="shared" si="4"/>
        <v>42</v>
      </c>
      <c r="C54" s="18">
        <f t="shared" si="1"/>
        <v>0.14986303482911048</v>
      </c>
      <c r="D54" s="19">
        <f>SUM($C$13:C53)+($C$5*$C$2)/(1+$C$8/2)^B54+($C$5*$C$2)/(1+$C$8/2)^B55+($C$5*$C$2)/(1+$C$8/2)^B56</f>
        <v>41.568294676685198</v>
      </c>
      <c r="E54" s="29">
        <f t="shared" si="6"/>
        <v>7.8327790197974135E-3</v>
      </c>
      <c r="F54" s="29">
        <f t="shared" si="3"/>
        <v>0.9921672209802026</v>
      </c>
      <c r="G54" s="29">
        <f>PRODUCT(F$13:F54)</f>
        <v>2.2153472423683526E-2</v>
      </c>
      <c r="H54" s="20">
        <f>PRODUCT($F$13:F53)*E54</f>
        <v>1.7489315343885092E-4</v>
      </c>
      <c r="I54" s="29">
        <f t="shared" si="5"/>
        <v>7.2700101390808739E-3</v>
      </c>
    </row>
    <row r="55" spans="1:9" x14ac:dyDescent="0.25">
      <c r="A55" s="17">
        <f t="shared" si="0"/>
        <v>5</v>
      </c>
      <c r="B55" s="7">
        <f t="shared" si="4"/>
        <v>43</v>
      </c>
      <c r="C55" s="18">
        <f t="shared" si="1"/>
        <v>0.13940747425963765</v>
      </c>
      <c r="D55" s="19">
        <f>SUM($C$13:C54)+($C$5*$C$2)/(1+$C$8/2)^B55+($C$5*$C$2)/(1+$C$8/2)^B56+($C$5*$C$2)/(1+$C$8/2)^B57</f>
        <v>41.646933836675998</v>
      </c>
      <c r="E55" s="29">
        <f t="shared" si="6"/>
        <v>5.4103693732700832E-3</v>
      </c>
      <c r="F55" s="29">
        <f t="shared" si="3"/>
        <v>0.99458963062672989</v>
      </c>
      <c r="G55" s="29">
        <f>PRODUCT(F$13:F55)</f>
        <v>2.2033613954970846E-2</v>
      </c>
      <c r="H55" s="20">
        <f>PRODUCT($F$13:F54)*E55</f>
        <v>1.198584687126807E-4</v>
      </c>
      <c r="I55" s="29">
        <f t="shared" si="5"/>
        <v>4.9917377162423133E-3</v>
      </c>
    </row>
    <row r="56" spans="1:9" x14ac:dyDescent="0.25">
      <c r="A56" s="17">
        <f t="shared" si="0"/>
        <v>4</v>
      </c>
      <c r="B56" s="7">
        <f t="shared" si="4"/>
        <v>44</v>
      </c>
      <c r="C56" s="18">
        <f t="shared" si="1"/>
        <v>0.1296813714043141</v>
      </c>
      <c r="D56" s="19">
        <f>SUM($C$13:C55)+($C$5*$C$2)/(1+$C$8/2)^B56+($C$5*$C$2)/(1+$C$8/2)^B57+($C$5*$C$2)/(1+$C$8/2)^B58</f>
        <v>41.717592396999045</v>
      </c>
      <c r="E56" s="29">
        <f t="shared" si="6"/>
        <v>3.6631277777468361E-3</v>
      </c>
      <c r="F56" s="29">
        <f t="shared" si="3"/>
        <v>0.9963368722222532</v>
      </c>
      <c r="G56" s="29">
        <f>PRODUCT(F$13:F56)</f>
        <v>2.1952902011648241E-2</v>
      </c>
      <c r="H56" s="20">
        <f>PRODUCT($F$13:F55)*E56</f>
        <v>8.0711943322604024E-5</v>
      </c>
      <c r="I56" s="29">
        <f t="shared" si="5"/>
        <v>3.3671079531020836E-3</v>
      </c>
    </row>
    <row r="57" spans="1:9" x14ac:dyDescent="0.25">
      <c r="A57" s="17">
        <f t="shared" si="0"/>
        <v>3</v>
      </c>
      <c r="B57" s="7">
        <f t="shared" si="4"/>
        <v>45</v>
      </c>
      <c r="C57" s="18">
        <f t="shared" si="1"/>
        <v>0.12063383386447821</v>
      </c>
      <c r="D57" s="19">
        <f>SUM($C$13:C56)+($C$5*$C$2)/(1+$C$8/2)^B57+($C$5*$C$2)/(1+$C$8/2)^B58+($C$5*$C$2)/(1+$C$8/2)^B59</f>
        <v>41.78091381286611</v>
      </c>
      <c r="E57" s="29">
        <f t="shared" si="6"/>
        <v>2.4310356659829873E-3</v>
      </c>
      <c r="F57" s="29">
        <f t="shared" si="3"/>
        <v>0.99756896433401698</v>
      </c>
      <c r="G57" s="29">
        <f>PRODUCT(F$13:F57)</f>
        <v>2.1899533723886096E-2</v>
      </c>
      <c r="H57" s="20">
        <f>PRODUCT($F$13:F56)*E57</f>
        <v>5.3368287762146544E-5</v>
      </c>
      <c r="I57" s="29">
        <f t="shared" si="5"/>
        <v>2.2297758313304821E-3</v>
      </c>
    </row>
    <row r="58" spans="1:9" x14ac:dyDescent="0.25">
      <c r="A58" s="17">
        <f t="shared" si="0"/>
        <v>2</v>
      </c>
      <c r="B58" s="7">
        <f t="shared" si="4"/>
        <v>46</v>
      </c>
      <c r="C58" s="18">
        <f t="shared" si="1"/>
        <v>0.11221751987393325</v>
      </c>
      <c r="D58" s="19">
        <f>SUM($C$13:C57)+($C$5*$C$2)/(1+$C$8/2)^B58+($C$5*$C$2)/(1+$C$8/2)^B59+($C$5*$C$2)/(1+$C$8/2)^B60</f>
        <v>41.837493635594249</v>
      </c>
      <c r="E58" s="29">
        <f t="shared" si="6"/>
        <v>1.5814108103186883E-3</v>
      </c>
      <c r="F58" s="29">
        <f t="shared" si="3"/>
        <v>0.99841858918968129</v>
      </c>
      <c r="G58" s="29">
        <f>PRODUCT(F$13:F58)</f>
        <v>2.1864901564514202E-2</v>
      </c>
      <c r="H58" s="20">
        <f>PRODUCT($F$13:F57)*E58</f>
        <v>3.4632159371892151E-5</v>
      </c>
      <c r="I58" s="29">
        <f t="shared" si="5"/>
        <v>1.4489227473084235E-3</v>
      </c>
    </row>
    <row r="59" spans="1:9" x14ac:dyDescent="0.25">
      <c r="A59" s="17">
        <f t="shared" si="0"/>
        <v>1</v>
      </c>
      <c r="B59" s="7">
        <f t="shared" si="4"/>
        <v>47</v>
      </c>
      <c r="C59" s="18">
        <f t="shared" si="1"/>
        <v>0.10438839058040301</v>
      </c>
      <c r="D59" s="19">
        <f>SUM($C$13:C58)+($C$5*$C$2)/(1+$C$8/2)^B59+($C$5*$C$2)/(1+$C$8/2)^B60</f>
        <v>41.335523231965816</v>
      </c>
      <c r="E59" s="29">
        <f t="shared" si="6"/>
        <v>1.0083520519381958E-3</v>
      </c>
      <c r="F59" s="29">
        <f t="shared" si="3"/>
        <v>0.99899164794806183</v>
      </c>
      <c r="G59" s="29">
        <f>PRODUCT(F$13:F59)</f>
        <v>2.1842854046156199E-2</v>
      </c>
      <c r="H59" s="20">
        <f>PRODUCT($F$13:F58)*E59</f>
        <v>2.2047518358004565E-5</v>
      </c>
      <c r="I59" s="29">
        <f t="shared" si="5"/>
        <v>9.1134570729449048E-4</v>
      </c>
    </row>
    <row r="60" spans="1:9" x14ac:dyDescent="0.25">
      <c r="A60" s="17">
        <f t="shared" si="0"/>
        <v>0</v>
      </c>
      <c r="B60" s="7">
        <f t="shared" si="4"/>
        <v>48</v>
      </c>
      <c r="C60" s="18">
        <f t="shared" si="1"/>
        <v>9.710547960967722E-2</v>
      </c>
      <c r="D60" s="19">
        <f>SUM($C$13:C59)+($C$5*$C$2)/(1+$C$8/2)^B60</f>
        <v>40.847066136540079</v>
      </c>
      <c r="E60" s="29">
        <f t="shared" si="6"/>
        <v>6.3022231968888837E-4</v>
      </c>
      <c r="F60" s="29">
        <f t="shared" si="3"/>
        <v>0.9993697776803111</v>
      </c>
      <c r="G60" s="29">
        <f>PRODUCT(F$13:F60)</f>
        <v>2.1829088192010605E-2</v>
      </c>
      <c r="H60" s="20">
        <f>PRODUCT($F$13:F59)*E60</f>
        <v>1.3765854145594381E-5</v>
      </c>
      <c r="I60" s="29">
        <f t="shared" si="5"/>
        <v>5.6229475471105815E-4</v>
      </c>
    </row>
    <row r="61" spans="1:9" x14ac:dyDescent="0.25">
      <c r="A61" s="17" t="s">
        <v>69</v>
      </c>
      <c r="B61" s="7">
        <v>48</v>
      </c>
      <c r="C61" s="18">
        <f t="shared" si="1"/>
        <v>9.710547960967722E-2</v>
      </c>
      <c r="D61" s="19">
        <f>SUM($C$13:C60)</f>
        <v>40.371926938537648</v>
      </c>
      <c r="E61" s="29">
        <f>EXP(-0.01*((B61-$C$3)^2))*0.2</f>
        <v>6.3022231968888837E-4</v>
      </c>
      <c r="F61" s="29">
        <f t="shared" ref="F61" si="7">1-E61</f>
        <v>0.9993697776803111</v>
      </c>
      <c r="G61" s="29">
        <f>PRODUCT(F$13:F61)</f>
        <v>2.1815331013413541E-2</v>
      </c>
      <c r="H61" s="20">
        <f>PRODUCT($F$13:F60)</f>
        <v>2.1829088192010605E-2</v>
      </c>
      <c r="I61" s="29">
        <f>D61*H61</f>
        <v>0.88128235362274698</v>
      </c>
    </row>
    <row r="62" spans="1:9" x14ac:dyDescent="0.25">
      <c r="A62" s="17"/>
      <c r="B62" s="7"/>
      <c r="C62" s="18"/>
      <c r="D62" s="19"/>
      <c r="E62" s="29"/>
      <c r="F62" s="29"/>
      <c r="G62" s="29"/>
      <c r="H62" s="20"/>
      <c r="I62" s="29"/>
    </row>
    <row r="63" spans="1:9" x14ac:dyDescent="0.25">
      <c r="A63" t="s">
        <v>54</v>
      </c>
      <c r="B63" s="7"/>
      <c r="C63" s="18"/>
      <c r="D63" s="7"/>
      <c r="E63" s="5"/>
      <c r="H63" s="20"/>
      <c r="I63" s="29">
        <f>SUM(I13:I62)</f>
        <v>33.26457048526494</v>
      </c>
    </row>
    <row r="64" spans="1:9" x14ac:dyDescent="0.25">
      <c r="A64" t="s">
        <v>40</v>
      </c>
      <c r="B64" s="7">
        <v>48</v>
      </c>
      <c r="C64" s="24">
        <f>$C$2/(1+$C$8/2)^B64</f>
        <v>18.31182968358732</v>
      </c>
      <c r="D64" s="7"/>
      <c r="H64" s="20"/>
      <c r="I64" s="29"/>
    </row>
    <row r="65" spans="1:9" x14ac:dyDescent="0.25">
      <c r="B65" s="7"/>
      <c r="C65" s="18"/>
      <c r="D65" s="7"/>
      <c r="I65" s="21"/>
    </row>
    <row r="66" spans="1:9" x14ac:dyDescent="0.25">
      <c r="A66" s="25" t="s">
        <v>55</v>
      </c>
      <c r="B66" s="26"/>
      <c r="C66" s="27">
        <f>C64+I63</f>
        <v>51.57640016885226</v>
      </c>
      <c r="D66" s="7"/>
      <c r="H66" s="29">
        <f>SUM(H13:H61)</f>
        <v>0.99999999999999978</v>
      </c>
      <c r="I66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Bond Value 1996</vt:lpstr>
      <vt:lpstr>Binomial Probabilities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Torres</dc:creator>
  <cp:lastModifiedBy>Rauli Susmel</cp:lastModifiedBy>
  <dcterms:created xsi:type="dcterms:W3CDTF">2017-04-11T22:18:11Z</dcterms:created>
  <dcterms:modified xsi:type="dcterms:W3CDTF">2022-04-28T19:37:33Z</dcterms:modified>
</cp:coreProperties>
</file>