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35" windowWidth="11340" windowHeight="6285" tabRatio="361"/>
  </bookViews>
  <sheets>
    <sheet name="CAT-VAL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B35" i="1"/>
  <c r="B106"/>
  <c r="D97"/>
  <c r="E97"/>
  <c r="F97"/>
  <c r="G97"/>
  <c r="H97"/>
  <c r="I97"/>
  <c r="J97"/>
  <c r="K97"/>
  <c r="L97"/>
  <c r="M97"/>
  <c r="N97"/>
  <c r="C97"/>
  <c r="C96"/>
  <c r="E89"/>
  <c r="F89"/>
  <c r="G89"/>
  <c r="H89"/>
  <c r="I89"/>
  <c r="J89"/>
  <c r="K89"/>
  <c r="L89"/>
  <c r="M89"/>
  <c r="N89"/>
  <c r="D89"/>
  <c r="E88"/>
  <c r="F88"/>
  <c r="G88"/>
  <c r="H88"/>
  <c r="I88"/>
  <c r="J88"/>
  <c r="K88"/>
  <c r="L88"/>
  <c r="M88"/>
  <c r="N88"/>
  <c r="D88"/>
  <c r="E87"/>
  <c r="F87"/>
  <c r="G87"/>
  <c r="H87"/>
  <c r="I87"/>
  <c r="J87"/>
  <c r="K87"/>
  <c r="L87"/>
  <c r="M87"/>
  <c r="N87"/>
  <c r="D87"/>
  <c r="E86"/>
  <c r="F86"/>
  <c r="G86"/>
  <c r="H86"/>
  <c r="I86"/>
  <c r="J86"/>
  <c r="K86"/>
  <c r="L86"/>
  <c r="M86"/>
  <c r="N86"/>
  <c r="D86"/>
  <c r="E83"/>
  <c r="F83"/>
  <c r="G83"/>
  <c r="H83"/>
  <c r="I83"/>
  <c r="J83"/>
  <c r="K83"/>
  <c r="L83"/>
  <c r="M83"/>
  <c r="N83"/>
  <c r="D83"/>
  <c r="E82"/>
  <c r="F82"/>
  <c r="G82" s="1"/>
  <c r="H82" s="1"/>
  <c r="I82" s="1"/>
  <c r="J82" s="1"/>
  <c r="K82" s="1"/>
  <c r="L82" s="1"/>
  <c r="M82" s="1"/>
  <c r="N82" s="1"/>
  <c r="D82"/>
  <c r="E81"/>
  <c r="F81"/>
  <c r="G81"/>
  <c r="H81"/>
  <c r="I81"/>
  <c r="J81"/>
  <c r="K81"/>
  <c r="L81"/>
  <c r="M81"/>
  <c r="N81"/>
  <c r="D81"/>
  <c r="E79"/>
  <c r="F79"/>
  <c r="G79"/>
  <c r="H79"/>
  <c r="I79"/>
  <c r="J79"/>
  <c r="K79"/>
  <c r="L79"/>
  <c r="M79"/>
  <c r="N79"/>
  <c r="E76"/>
  <c r="F76"/>
  <c r="G76" s="1"/>
  <c r="H76" s="1"/>
  <c r="I76" s="1"/>
  <c r="J76" s="1"/>
  <c r="K76" s="1"/>
  <c r="L76" s="1"/>
  <c r="M76" s="1"/>
  <c r="N76" s="1"/>
  <c r="N78" s="1"/>
  <c r="D76"/>
  <c r="D79" s="1"/>
  <c r="D78"/>
  <c r="E77"/>
  <c r="F77"/>
  <c r="G77" s="1"/>
  <c r="H77" s="1"/>
  <c r="I77" s="1"/>
  <c r="J77" s="1"/>
  <c r="K77" s="1"/>
  <c r="L77" s="1"/>
  <c r="M77" s="1"/>
  <c r="N77" s="1"/>
  <c r="D77"/>
  <c r="C77"/>
  <c r="C78"/>
  <c r="C79"/>
  <c r="C80"/>
  <c r="C81"/>
  <c r="C82"/>
  <c r="C83"/>
  <c r="C84"/>
  <c r="C85"/>
  <c r="C86"/>
  <c r="C87"/>
  <c r="C88"/>
  <c r="C89"/>
  <c r="C76"/>
  <c r="C74"/>
  <c r="C71"/>
  <c r="D70"/>
  <c r="E70"/>
  <c r="F70"/>
  <c r="G70"/>
  <c r="H70"/>
  <c r="I70"/>
  <c r="J70"/>
  <c r="K70"/>
  <c r="L70"/>
  <c r="M70"/>
  <c r="N70"/>
  <c r="C70"/>
  <c r="C69"/>
  <c r="D68"/>
  <c r="E68"/>
  <c r="F68"/>
  <c r="G68"/>
  <c r="H68"/>
  <c r="I68"/>
  <c r="J68"/>
  <c r="K68"/>
  <c r="L68"/>
  <c r="M68"/>
  <c r="N68"/>
  <c r="C68"/>
  <c r="C66"/>
  <c r="C64"/>
  <c r="D63"/>
  <c r="E63"/>
  <c r="F63"/>
  <c r="G63"/>
  <c r="H63"/>
  <c r="I63"/>
  <c r="J63"/>
  <c r="K63"/>
  <c r="L63"/>
  <c r="M63"/>
  <c r="N63"/>
  <c r="C63"/>
  <c r="C62"/>
  <c r="C60"/>
  <c r="C58"/>
  <c r="E59"/>
  <c r="F59"/>
  <c r="G59"/>
  <c r="H59"/>
  <c r="I59"/>
  <c r="J59"/>
  <c r="K59"/>
  <c r="L59"/>
  <c r="M59"/>
  <c r="N59"/>
  <c r="D59"/>
  <c r="B53"/>
  <c r="B45"/>
  <c r="B47" s="1"/>
  <c r="B51" s="1"/>
  <c r="B41"/>
  <c r="B40"/>
  <c r="E25"/>
  <c r="F25"/>
  <c r="G25"/>
  <c r="H25"/>
  <c r="I25"/>
  <c r="J25"/>
  <c r="K25"/>
  <c r="L25"/>
  <c r="M25"/>
  <c r="N25"/>
  <c r="D25"/>
  <c r="D23"/>
  <c r="E23"/>
  <c r="F23"/>
  <c r="G23"/>
  <c r="H23"/>
  <c r="I23"/>
  <c r="J23"/>
  <c r="K23"/>
  <c r="L23"/>
  <c r="M23"/>
  <c r="N23"/>
  <c r="C23"/>
  <c r="D15"/>
  <c r="E15"/>
  <c r="E18" s="1"/>
  <c r="E20" s="1"/>
  <c r="F15"/>
  <c r="F18" s="1"/>
  <c r="F20" s="1"/>
  <c r="G15"/>
  <c r="H15"/>
  <c r="I15"/>
  <c r="J15"/>
  <c r="J18" s="1"/>
  <c r="J20" s="1"/>
  <c r="J26" s="1"/>
  <c r="K15"/>
  <c r="K18" s="1"/>
  <c r="K20" s="1"/>
  <c r="L15"/>
  <c r="M15"/>
  <c r="M18" s="1"/>
  <c r="M20" s="1"/>
  <c r="N15"/>
  <c r="N18" s="1"/>
  <c r="N20" s="1"/>
  <c r="C15"/>
  <c r="C18" s="1"/>
  <c r="C20" s="1"/>
  <c r="D96"/>
  <c r="E96" s="1"/>
  <c r="F96" s="1"/>
  <c r="G96" s="1"/>
  <c r="H96" s="1"/>
  <c r="I96" s="1"/>
  <c r="J96" s="1"/>
  <c r="K96" s="1"/>
  <c r="L96" s="1"/>
  <c r="M96" s="1"/>
  <c r="N96" s="1"/>
  <c r="D74"/>
  <c r="E74" s="1"/>
  <c r="F74" s="1"/>
  <c r="G74" s="1"/>
  <c r="H74" s="1"/>
  <c r="I74" s="1"/>
  <c r="J74" s="1"/>
  <c r="K74" s="1"/>
  <c r="L74" s="1"/>
  <c r="M74" s="1"/>
  <c r="N74" s="1"/>
  <c r="D58"/>
  <c r="E58" s="1"/>
  <c r="F58" s="1"/>
  <c r="G58" s="1"/>
  <c r="H58" s="1"/>
  <c r="I58" s="1"/>
  <c r="J58" s="1"/>
  <c r="K58" s="1"/>
  <c r="L58" s="1"/>
  <c r="M58" s="1"/>
  <c r="N58" s="1"/>
  <c r="D12"/>
  <c r="E12" s="1"/>
  <c r="F12" s="1"/>
  <c r="G12" s="1"/>
  <c r="H12" s="1"/>
  <c r="I12" s="1"/>
  <c r="J12" s="1"/>
  <c r="K12" s="1"/>
  <c r="L12" s="1"/>
  <c r="M12" s="1"/>
  <c r="N12" s="1"/>
  <c r="B55" l="1"/>
  <c r="M78"/>
  <c r="K78"/>
  <c r="I78"/>
  <c r="G78"/>
  <c r="E78"/>
  <c r="L78"/>
  <c r="J78"/>
  <c r="H78"/>
  <c r="F78"/>
  <c r="H18"/>
  <c r="H20" s="1"/>
  <c r="H26" s="1"/>
  <c r="E26"/>
  <c r="N26"/>
  <c r="M26"/>
  <c r="L18"/>
  <c r="L20" s="1"/>
  <c r="L26" s="1"/>
  <c r="K26"/>
  <c r="I18"/>
  <c r="I20" s="1"/>
  <c r="I26" s="1"/>
  <c r="G18"/>
  <c r="G20" s="1"/>
  <c r="G26" s="1"/>
  <c r="F26"/>
  <c r="D18"/>
  <c r="D20" s="1"/>
  <c r="D26" s="1"/>
  <c r="E98" l="1"/>
  <c r="G98"/>
  <c r="I98"/>
  <c r="K98"/>
  <c r="M98"/>
  <c r="D98"/>
  <c r="F98"/>
  <c r="H98"/>
  <c r="J98"/>
  <c r="L98"/>
  <c r="N98"/>
  <c r="B102" s="1"/>
  <c r="C98"/>
  <c r="B98" l="1"/>
  <c r="B108"/>
  <c r="B110" s="1"/>
</calcChain>
</file>

<file path=xl/sharedStrings.xml><?xml version="1.0" encoding="utf-8"?>
<sst xmlns="http://schemas.openxmlformats.org/spreadsheetml/2006/main" count="68" uniqueCount="54">
  <si>
    <t>SALES</t>
  </si>
  <si>
    <t>OPERATING MARGIN</t>
  </si>
  <si>
    <t>DEPRECIATION</t>
  </si>
  <si>
    <t>WORKING CAPITAL</t>
  </si>
  <si>
    <t>INCOME TAX RATE</t>
  </si>
  <si>
    <t xml:space="preserve">CAPITAL SPENDING P/S </t>
  </si>
  <si>
    <t>SHARES OUTSTANDING</t>
  </si>
  <si>
    <t>SALES GROWTH</t>
  </si>
  <si>
    <t>WACC</t>
  </si>
  <si>
    <t>RISK FREE RATE</t>
  </si>
  <si>
    <t>VALUE OF EQUITY</t>
  </si>
  <si>
    <t>EXPENSES</t>
  </si>
  <si>
    <t>TAXABLE INCOME</t>
  </si>
  <si>
    <t>TAX PAYMENT</t>
  </si>
  <si>
    <t>CHANGE IN WC</t>
  </si>
  <si>
    <t>CASH FLOW</t>
  </si>
  <si>
    <t>CAPITAL EX.</t>
  </si>
  <si>
    <t>SHARE PRICE</t>
  </si>
  <si>
    <t>VALUE OF DEBT</t>
  </si>
  <si>
    <t>FIRM VALUE</t>
  </si>
  <si>
    <t>TAX RATE</t>
  </si>
  <si>
    <t>Value of Equity</t>
  </si>
  <si>
    <t>SHARE VALUE</t>
  </si>
  <si>
    <t>CURRENT SHARE PRICE</t>
  </si>
  <si>
    <t>Value Line DATA</t>
  </si>
  <si>
    <t>ANNUAL SALES GROWTH</t>
  </si>
  <si>
    <t>STOCK PRICE</t>
  </si>
  <si>
    <t>EXPECTED RETURN ON EQUITY</t>
  </si>
  <si>
    <t>MARKET RETURN</t>
  </si>
  <si>
    <t>USING CAPM</t>
  </si>
  <si>
    <t>Re=</t>
  </si>
  <si>
    <t>WACC=</t>
  </si>
  <si>
    <t>Rd=</t>
  </si>
  <si>
    <t>AVERAGE GROWTH=</t>
  </si>
  <si>
    <t>STOCK VALUATION</t>
  </si>
  <si>
    <t>EXCESS CASH</t>
  </si>
  <si>
    <t>Stock Valuation Project</t>
  </si>
  <si>
    <t>AVERAGE Tax Rate=</t>
  </si>
  <si>
    <t>AVRG DEP/SALES=</t>
  </si>
  <si>
    <t>AVRG CAPX/SALES=</t>
  </si>
  <si>
    <t>AVRG WC/SALES=</t>
  </si>
  <si>
    <t>FUTURE CASH FLOWS</t>
  </si>
  <si>
    <t xml:space="preserve"> </t>
  </si>
  <si>
    <t>AVRG OPERATING MRG=</t>
  </si>
  <si>
    <t>FUTURE CASH FLOW</t>
  </si>
  <si>
    <t>BETA (google.com)</t>
  </si>
  <si>
    <t>BETA (Yahoo.com)</t>
  </si>
  <si>
    <t>BETA (msn.com)</t>
  </si>
  <si>
    <t>BETA (Valueline)</t>
  </si>
  <si>
    <t>CATERPILLAR INC</t>
  </si>
  <si>
    <t>BETA Equity</t>
  </si>
  <si>
    <t>PV FUTURE CF'S 2011-22</t>
  </si>
  <si>
    <t>PV FUTURE CF'S after 2022</t>
  </si>
  <si>
    <t>growth rate after year 2021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</si>
</sst>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0.0000%"/>
    <numFmt numFmtId="167" formatCode="&quot;$&quot;#,##0.00"/>
  </numFmts>
  <fonts count="21">
    <font>
      <sz val="10"/>
      <name val="Arial"/>
    </font>
    <font>
      <sz val="10"/>
      <name val="Times New Roman"/>
      <family val="1"/>
    </font>
    <font>
      <b/>
      <sz val="16"/>
      <name val="Times New Roman"/>
      <family val="1"/>
    </font>
    <font>
      <i/>
      <sz val="10"/>
      <name val="Times New Roman"/>
      <family val="1"/>
    </font>
    <font>
      <b/>
      <u/>
      <sz val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i/>
      <u/>
      <sz val="10"/>
      <name val="Times New Roman"/>
      <family val="1"/>
    </font>
    <font>
      <sz val="10"/>
      <color indexed="10"/>
      <name val="Times New Roman"/>
      <family val="1"/>
    </font>
    <font>
      <i/>
      <sz val="10"/>
      <color indexed="10"/>
      <name val="Times New Roman"/>
      <family val="1"/>
    </font>
    <font>
      <b/>
      <sz val="12"/>
      <color indexed="12"/>
      <name val="Times New Roman"/>
      <family val="1"/>
    </font>
    <font>
      <sz val="12"/>
      <color indexed="12"/>
      <name val="Times New Roman"/>
      <family val="1"/>
    </font>
    <font>
      <b/>
      <sz val="12"/>
      <name val="Times New Roman"/>
      <family val="1"/>
    </font>
    <font>
      <b/>
      <i/>
      <sz val="10"/>
      <color indexed="10"/>
      <name val="Times New Roman"/>
      <family val="1"/>
    </font>
    <font>
      <sz val="10"/>
      <color indexed="9"/>
      <name val="Times New Roman"/>
      <family val="1"/>
    </font>
    <font>
      <b/>
      <i/>
      <u/>
      <sz val="20"/>
      <name val="Times New Roman"/>
      <family val="1"/>
    </font>
    <font>
      <b/>
      <sz val="12"/>
      <color indexed="17"/>
      <name val="Times New Roman"/>
      <family val="1"/>
    </font>
    <font>
      <b/>
      <sz val="10"/>
      <color indexed="12"/>
      <name val="Times New Roman"/>
      <family val="1"/>
    </font>
    <font>
      <b/>
      <sz val="14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2" fontId="1" fillId="0" borderId="0" xfId="0" applyNumberFormat="1" applyFont="1"/>
    <xf numFmtId="2" fontId="2" fillId="0" borderId="0" xfId="0" applyNumberFormat="1" applyFont="1"/>
    <xf numFmtId="2" fontId="3" fillId="0" borderId="0" xfId="0" applyNumberFormat="1" applyFont="1"/>
    <xf numFmtId="2" fontId="5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/>
    <xf numFmtId="2" fontId="1" fillId="0" borderId="0" xfId="0" applyNumberFormat="1" applyFont="1" applyAlignment="1">
      <alignment horizontal="center"/>
    </xf>
    <xf numFmtId="2" fontId="7" fillId="0" borderId="0" xfId="0" applyNumberFormat="1" applyFont="1"/>
    <xf numFmtId="2" fontId="7" fillId="0" borderId="0" xfId="0" applyNumberFormat="1" applyFont="1" applyBorder="1"/>
    <xf numFmtId="2" fontId="1" fillId="0" borderId="0" xfId="0" applyNumberFormat="1" applyFont="1" applyBorder="1"/>
    <xf numFmtId="0" fontId="1" fillId="0" borderId="0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1" fillId="0" borderId="0" xfId="0" applyNumberFormat="1" applyFont="1" applyBorder="1"/>
    <xf numFmtId="0" fontId="6" fillId="0" borderId="0" xfId="0" applyNumberFormat="1" applyFont="1" applyBorder="1"/>
    <xf numFmtId="0" fontId="5" fillId="0" borderId="0" xfId="0" applyNumberFormat="1" applyFont="1" applyBorder="1"/>
    <xf numFmtId="0" fontId="8" fillId="0" borderId="0" xfId="0" applyNumberFormat="1" applyFont="1" applyBorder="1"/>
    <xf numFmtId="0" fontId="8" fillId="0" borderId="0" xfId="0" applyNumberFormat="1" applyFont="1" applyFill="1" applyBorder="1"/>
    <xf numFmtId="0" fontId="9" fillId="0" borderId="0" xfId="0" applyNumberFormat="1" applyFont="1" applyBorder="1"/>
    <xf numFmtId="0" fontId="5" fillId="0" borderId="0" xfId="0" applyNumberFormat="1" applyFont="1"/>
    <xf numFmtId="0" fontId="3" fillId="0" borderId="0" xfId="0" applyNumberFormat="1" applyFont="1" applyFill="1" applyBorder="1" applyAlignment="1">
      <alignment horizontal="center"/>
    </xf>
    <xf numFmtId="0" fontId="8" fillId="0" borderId="0" xfId="0" applyNumberFormat="1" applyFont="1"/>
    <xf numFmtId="0" fontId="5" fillId="0" borderId="0" xfId="0" applyNumberFormat="1" applyFont="1" applyFill="1" applyBorder="1"/>
    <xf numFmtId="0" fontId="1" fillId="0" borderId="0" xfId="0" applyNumberFormat="1" applyFont="1"/>
    <xf numFmtId="0" fontId="3" fillId="0" borderId="0" xfId="0" applyNumberFormat="1" applyFont="1" applyBorder="1"/>
    <xf numFmtId="0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8" fillId="0" borderId="0" xfId="0" applyNumberFormat="1" applyFont="1"/>
    <xf numFmtId="2" fontId="8" fillId="0" borderId="0" xfId="0" applyNumberFormat="1" applyFont="1" applyBorder="1"/>
    <xf numFmtId="2" fontId="9" fillId="0" borderId="0" xfId="0" applyNumberFormat="1" applyFont="1" applyBorder="1"/>
    <xf numFmtId="2" fontId="3" fillId="0" borderId="0" xfId="0" applyNumberFormat="1" applyFont="1" applyBorder="1"/>
    <xf numFmtId="0" fontId="1" fillId="0" borderId="0" xfId="0" applyNumberFormat="1" applyFont="1" applyAlignment="1">
      <alignment horizontal="center"/>
    </xf>
    <xf numFmtId="164" fontId="10" fillId="0" borderId="0" xfId="0" applyNumberFormat="1" applyFont="1"/>
    <xf numFmtId="164" fontId="11" fillId="0" borderId="0" xfId="0" applyNumberFormat="1" applyFont="1" applyAlignment="1">
      <alignment horizontal="center"/>
    </xf>
    <xf numFmtId="164" fontId="11" fillId="0" borderId="0" xfId="0" applyNumberFormat="1" applyFont="1"/>
    <xf numFmtId="164" fontId="1" fillId="0" borderId="0" xfId="0" applyNumberFormat="1" applyFont="1"/>
    <xf numFmtId="2" fontId="1" fillId="0" borderId="0" xfId="0" applyNumberFormat="1" applyFont="1" applyFill="1" applyAlignment="1">
      <alignment horizontal="left"/>
    </xf>
    <xf numFmtId="2" fontId="1" fillId="0" borderId="0" xfId="0" applyNumberFormat="1" applyFont="1" applyFill="1" applyAlignment="1">
      <alignment horizontal="center"/>
    </xf>
    <xf numFmtId="2" fontId="1" fillId="0" borderId="0" xfId="0" applyNumberFormat="1" applyFont="1" applyFill="1"/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5" fontId="1" fillId="0" borderId="0" xfId="0" applyNumberFormat="1" applyFont="1" applyFill="1"/>
    <xf numFmtId="2" fontId="13" fillId="0" borderId="0" xfId="0" applyNumberFormat="1" applyFont="1"/>
    <xf numFmtId="2" fontId="6" fillId="0" borderId="0" xfId="0" applyNumberFormat="1" applyFont="1" applyFill="1" applyAlignment="1">
      <alignment horizontal="left"/>
    </xf>
    <xf numFmtId="165" fontId="5" fillId="0" borderId="0" xfId="0" applyNumberFormat="1" applyFont="1" applyFill="1" applyAlignment="1">
      <alignment horizontal="center"/>
    </xf>
    <xf numFmtId="166" fontId="1" fillId="0" borderId="0" xfId="0" applyNumberFormat="1" applyFont="1" applyAlignment="1"/>
    <xf numFmtId="2" fontId="1" fillId="0" borderId="0" xfId="0" applyNumberFormat="1" applyFont="1" applyFill="1" applyAlignment="1"/>
    <xf numFmtId="2" fontId="5" fillId="0" borderId="0" xfId="0" applyNumberFormat="1" applyFont="1" applyFill="1" applyAlignment="1">
      <alignment horizontal="center"/>
    </xf>
    <xf numFmtId="2" fontId="5" fillId="0" borderId="0" xfId="0" applyNumberFormat="1" applyFont="1" applyFill="1"/>
    <xf numFmtId="2" fontId="6" fillId="0" borderId="0" xfId="0" applyNumberFormat="1" applyFont="1" applyFill="1"/>
    <xf numFmtId="2" fontId="6" fillId="0" borderId="0" xfId="0" applyNumberFormat="1" applyFont="1" applyFill="1" applyAlignment="1">
      <alignment horizontal="right"/>
    </xf>
    <xf numFmtId="2" fontId="14" fillId="0" borderId="0" xfId="0" applyNumberFormat="1" applyFont="1" applyFill="1"/>
    <xf numFmtId="2" fontId="1" fillId="0" borderId="0" xfId="0" applyNumberFormat="1" applyFont="1" applyFill="1" applyAlignment="1">
      <alignment horizontal="right"/>
    </xf>
    <xf numFmtId="2" fontId="5" fillId="0" borderId="0" xfId="0" applyNumberFormat="1" applyFont="1" applyFill="1" applyAlignment="1">
      <alignment horizontal="right"/>
    </xf>
    <xf numFmtId="2" fontId="12" fillId="0" borderId="0" xfId="0" applyNumberFormat="1" applyFont="1"/>
    <xf numFmtId="2" fontId="4" fillId="2" borderId="0" xfId="0" applyNumberFormat="1" applyFont="1" applyFill="1" applyAlignment="1">
      <alignment horizontal="center"/>
    </xf>
    <xf numFmtId="2" fontId="15" fillId="0" borderId="0" xfId="0" applyNumberFormat="1" applyFont="1"/>
    <xf numFmtId="2" fontId="3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10" fontId="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right"/>
    </xf>
    <xf numFmtId="2" fontId="10" fillId="0" borderId="0" xfId="0" applyNumberFormat="1" applyFont="1" applyAlignment="1">
      <alignment horizontal="left"/>
    </xf>
    <xf numFmtId="2" fontId="3" fillId="0" borderId="0" xfId="0" applyNumberFormat="1" applyFont="1" applyFill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2" fontId="1" fillId="3" borderId="0" xfId="0" applyNumberFormat="1" applyFont="1" applyFill="1"/>
    <xf numFmtId="2" fontId="8" fillId="3" borderId="0" xfId="0" applyNumberFormat="1" applyFont="1" applyFill="1"/>
    <xf numFmtId="164" fontId="11" fillId="3" borderId="0" xfId="0" applyNumberFormat="1" applyFont="1" applyFill="1"/>
    <xf numFmtId="165" fontId="10" fillId="0" borderId="0" xfId="0" applyNumberFormat="1" applyFont="1" applyAlignment="1">
      <alignment horizontal="left"/>
    </xf>
    <xf numFmtId="2" fontId="16" fillId="0" borderId="0" xfId="0" applyNumberFormat="1" applyFont="1" applyAlignment="1">
      <alignment horizontal="center"/>
    </xf>
    <xf numFmtId="2" fontId="17" fillId="0" borderId="0" xfId="0" applyNumberFormat="1" applyFont="1" applyFill="1"/>
    <xf numFmtId="0" fontId="5" fillId="4" borderId="1" xfId="0" applyNumberFormat="1" applyFont="1" applyFill="1" applyBorder="1" applyAlignment="1">
      <alignment horizontal="center"/>
    </xf>
    <xf numFmtId="2" fontId="3" fillId="4" borderId="0" xfId="0" applyNumberFormat="1" applyFont="1" applyFill="1"/>
    <xf numFmtId="165" fontId="10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" fillId="0" borderId="1" xfId="0" applyNumberFormat="1" applyFont="1" applyBorder="1"/>
    <xf numFmtId="164" fontId="10" fillId="0" borderId="0" xfId="0" applyNumberFormat="1" applyFont="1" applyFill="1"/>
    <xf numFmtId="164" fontId="11" fillId="0" borderId="0" xfId="0" applyNumberFormat="1" applyFont="1" applyFill="1" applyAlignment="1">
      <alignment horizontal="center"/>
    </xf>
    <xf numFmtId="167" fontId="19" fillId="0" borderId="0" xfId="0" applyNumberFormat="1" applyFont="1" applyAlignment="1">
      <alignment horizontal="center"/>
    </xf>
    <xf numFmtId="2" fontId="1" fillId="0" borderId="2" xfId="0" applyNumberFormat="1" applyFont="1" applyFill="1" applyBorder="1"/>
    <xf numFmtId="2" fontId="18" fillId="0" borderId="3" xfId="0" applyNumberFormat="1" applyFont="1" applyFill="1" applyBorder="1" applyAlignment="1">
      <alignment horizontal="center"/>
    </xf>
    <xf numFmtId="2" fontId="1" fillId="0" borderId="4" xfId="0" applyNumberFormat="1" applyFont="1" applyFill="1" applyBorder="1"/>
    <xf numFmtId="2" fontId="1" fillId="0" borderId="5" xfId="0" applyNumberFormat="1" applyFont="1" applyFill="1" applyBorder="1"/>
    <xf numFmtId="2" fontId="3" fillId="0" borderId="6" xfId="0" applyNumberFormat="1" applyFont="1" applyBorder="1"/>
    <xf numFmtId="167" fontId="19" fillId="0" borderId="7" xfId="0" applyNumberFormat="1" applyFont="1" applyBorder="1" applyAlignment="1">
      <alignment horizontal="center"/>
    </xf>
    <xf numFmtId="10" fontId="8" fillId="0" borderId="0" xfId="0" applyNumberFormat="1" applyFont="1"/>
    <xf numFmtId="10" fontId="8" fillId="5" borderId="0" xfId="0" applyNumberFormat="1" applyFont="1" applyFill="1"/>
    <xf numFmtId="2" fontId="20" fillId="0" borderId="0" xfId="0" applyNumberFormat="1" applyFont="1" applyAlignment="1">
      <alignment horizontal="center"/>
    </xf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85"/>
  <sheetViews>
    <sheetView tabSelected="1" topLeftCell="A72" zoomScaleNormal="100" workbookViewId="0">
      <selection activeCell="B35" sqref="B35"/>
    </sheetView>
  </sheetViews>
  <sheetFormatPr defaultRowHeight="12.75"/>
  <cols>
    <col min="1" max="1" width="30.28515625" style="1" customWidth="1"/>
    <col min="2" max="2" width="22.28515625" style="1" customWidth="1"/>
    <col min="3" max="3" width="10.28515625" style="1" customWidth="1"/>
    <col min="4" max="4" width="9.7109375" style="1" customWidth="1"/>
    <col min="5" max="5" width="9.28515625" style="1" customWidth="1"/>
    <col min="6" max="6" width="10.5703125" style="1" bestFit="1" customWidth="1"/>
    <col min="7" max="7" width="11.42578125" style="1" bestFit="1" customWidth="1"/>
    <col min="8" max="12" width="10.5703125" style="1" bestFit="1" customWidth="1"/>
    <col min="13" max="13" width="9.42578125" style="3" bestFit="1" customWidth="1"/>
    <col min="14" max="14" width="10" style="3" bestFit="1" customWidth="1"/>
    <col min="15" max="16384" width="9.140625" style="1"/>
  </cols>
  <sheetData>
    <row r="1" spans="1:22" ht="25.5">
      <c r="C1" s="57" t="s">
        <v>36</v>
      </c>
    </row>
    <row r="4" spans="1:22" ht="20.25">
      <c r="A4" s="2" t="s">
        <v>49</v>
      </c>
      <c r="C4" s="55" t="s">
        <v>26</v>
      </c>
      <c r="E4" s="80">
        <v>79.34</v>
      </c>
    </row>
    <row r="8" spans="1:22" ht="15.75">
      <c r="A8" s="56" t="s">
        <v>24</v>
      </c>
    </row>
    <row r="9" spans="1:22">
      <c r="C9" s="4"/>
    </row>
    <row r="10" spans="1:22" ht="13.5">
      <c r="B10" s="5"/>
      <c r="N10" s="6"/>
    </row>
    <row r="11" spans="1:22" ht="13.5">
      <c r="A11" s="7"/>
      <c r="B11" s="7"/>
      <c r="M11" s="8"/>
      <c r="O11" s="9"/>
      <c r="P11" s="10"/>
      <c r="Q11" s="10"/>
      <c r="R11" s="10"/>
    </row>
    <row r="12" spans="1:22" s="13" customFormat="1" ht="14.25" thickBot="1">
      <c r="A12" s="11"/>
      <c r="B12" s="11"/>
      <c r="C12" s="12">
        <v>2000</v>
      </c>
      <c r="D12" s="12">
        <f>1+C12</f>
        <v>2001</v>
      </c>
      <c r="E12" s="12">
        <f t="shared" ref="E12:N12" si="0">1+D12</f>
        <v>2002</v>
      </c>
      <c r="F12" s="12">
        <f t="shared" si="0"/>
        <v>2003</v>
      </c>
      <c r="G12" s="12">
        <f t="shared" si="0"/>
        <v>2004</v>
      </c>
      <c r="H12" s="12">
        <f t="shared" si="0"/>
        <v>2005</v>
      </c>
      <c r="I12" s="12">
        <f t="shared" si="0"/>
        <v>2006</v>
      </c>
      <c r="J12" s="12">
        <f t="shared" si="0"/>
        <v>2007</v>
      </c>
      <c r="K12" s="12">
        <f t="shared" si="0"/>
        <v>2008</v>
      </c>
      <c r="L12" s="12">
        <f t="shared" si="0"/>
        <v>2009</v>
      </c>
      <c r="M12" s="12">
        <f t="shared" si="0"/>
        <v>2010</v>
      </c>
      <c r="N12" s="12">
        <f t="shared" si="0"/>
        <v>2011</v>
      </c>
      <c r="P12" s="14"/>
      <c r="Q12" s="14"/>
      <c r="R12" s="15"/>
      <c r="S12" s="15"/>
      <c r="T12" s="15"/>
      <c r="U12" s="15"/>
      <c r="V12" s="15"/>
    </row>
    <row r="13" spans="1:22" s="16" customFormat="1">
      <c r="A13" s="15" t="s">
        <v>0</v>
      </c>
      <c r="B13" s="11"/>
      <c r="C13" s="16">
        <v>20175</v>
      </c>
      <c r="D13" s="16">
        <v>20450</v>
      </c>
      <c r="E13" s="16">
        <v>20152</v>
      </c>
      <c r="F13" s="16">
        <v>22763</v>
      </c>
      <c r="G13" s="16">
        <v>30251</v>
      </c>
      <c r="H13" s="16">
        <v>36339</v>
      </c>
      <c r="I13" s="16">
        <v>41517</v>
      </c>
      <c r="J13" s="17">
        <v>44958</v>
      </c>
      <c r="K13" s="17">
        <v>51324</v>
      </c>
      <c r="L13" s="17">
        <v>32396</v>
      </c>
      <c r="M13" s="17">
        <v>40500</v>
      </c>
      <c r="N13" s="16">
        <v>47000</v>
      </c>
      <c r="P13" s="18"/>
      <c r="Q13" s="18"/>
    </row>
    <row r="14" spans="1:22" s="21" customFormat="1">
      <c r="A14" s="19"/>
      <c r="B14" s="76" t="s">
        <v>1</v>
      </c>
      <c r="C14" s="87">
        <v>0.17100000000000001</v>
      </c>
      <c r="D14" s="87">
        <v>0.153</v>
      </c>
      <c r="E14" s="87">
        <v>0.152</v>
      </c>
      <c r="F14" s="87">
        <v>0.154</v>
      </c>
      <c r="G14" s="87">
        <v>0.154</v>
      </c>
      <c r="H14" s="87">
        <v>0.16600000000000001</v>
      </c>
      <c r="I14" s="87">
        <v>0.183</v>
      </c>
      <c r="J14" s="87">
        <v>0.17499999999999999</v>
      </c>
      <c r="K14" s="87">
        <v>0.14799999999999999</v>
      </c>
      <c r="L14" s="87">
        <v>0.14399999999999999</v>
      </c>
      <c r="M14" s="87">
        <v>0.16500000000000001</v>
      </c>
      <c r="N14" s="87">
        <v>0.18</v>
      </c>
      <c r="O14" s="16"/>
      <c r="P14" s="18"/>
      <c r="Q14" s="18"/>
      <c r="R14" s="16"/>
    </row>
    <row r="15" spans="1:22" s="23" customFormat="1">
      <c r="A15" s="22" t="s">
        <v>11</v>
      </c>
      <c r="B15" s="20"/>
      <c r="C15" s="23">
        <f>+C13*(1-C14)</f>
        <v>16725.075000000001</v>
      </c>
      <c r="D15" s="23">
        <f t="shared" ref="D15:N15" si="1">+D13*(1-D14)</f>
        <v>17321.149999999998</v>
      </c>
      <c r="E15" s="23">
        <f t="shared" si="1"/>
        <v>17088.896000000001</v>
      </c>
      <c r="F15" s="23">
        <f t="shared" si="1"/>
        <v>19257.498</v>
      </c>
      <c r="G15" s="23">
        <f t="shared" si="1"/>
        <v>25592.345999999998</v>
      </c>
      <c r="H15" s="23">
        <f t="shared" si="1"/>
        <v>30306.725999999999</v>
      </c>
      <c r="I15" s="23">
        <f t="shared" si="1"/>
        <v>33919.388999999996</v>
      </c>
      <c r="J15" s="23">
        <f t="shared" si="1"/>
        <v>37090.35</v>
      </c>
      <c r="K15" s="23">
        <f t="shared" si="1"/>
        <v>43728.048000000003</v>
      </c>
      <c r="L15" s="23">
        <f t="shared" si="1"/>
        <v>27730.975999999999</v>
      </c>
      <c r="M15" s="23">
        <f t="shared" si="1"/>
        <v>33817.5</v>
      </c>
      <c r="N15" s="23">
        <f t="shared" si="1"/>
        <v>38540</v>
      </c>
      <c r="O15" s="13"/>
      <c r="P15" s="24"/>
      <c r="Q15" s="24"/>
      <c r="R15" s="13"/>
    </row>
    <row r="16" spans="1:22" s="21" customFormat="1">
      <c r="A16" s="19" t="s">
        <v>2</v>
      </c>
      <c r="B16" s="25"/>
      <c r="C16" s="21">
        <v>1022</v>
      </c>
      <c r="D16" s="21">
        <v>1169</v>
      </c>
      <c r="E16" s="21">
        <v>1220</v>
      </c>
      <c r="F16" s="21">
        <v>1347</v>
      </c>
      <c r="G16" s="21">
        <v>1397</v>
      </c>
      <c r="H16" s="21">
        <v>1477</v>
      </c>
      <c r="I16" s="16">
        <v>1602</v>
      </c>
      <c r="J16" s="17">
        <v>1797</v>
      </c>
      <c r="K16" s="17">
        <v>1980</v>
      </c>
      <c r="L16" s="17">
        <v>2336</v>
      </c>
      <c r="M16" s="17">
        <v>2425</v>
      </c>
      <c r="N16" s="21">
        <v>2550</v>
      </c>
      <c r="O16" s="16"/>
      <c r="P16" s="18"/>
      <c r="Q16" s="18"/>
      <c r="R16" s="16"/>
    </row>
    <row r="17" spans="1:18" s="21" customFormat="1">
      <c r="A17" s="19"/>
      <c r="B17" s="25"/>
      <c r="I17" s="16"/>
      <c r="J17" s="17"/>
      <c r="K17" s="17"/>
      <c r="L17" s="17"/>
      <c r="M17" s="17"/>
      <c r="N17" s="23"/>
      <c r="O17" s="16"/>
      <c r="P17" s="18"/>
      <c r="Q17" s="18"/>
      <c r="R17" s="16"/>
    </row>
    <row r="18" spans="1:18" s="23" customFormat="1">
      <c r="A18" s="19" t="s">
        <v>12</v>
      </c>
      <c r="B18" s="25"/>
      <c r="C18" s="23">
        <f>+C13-C15-C16</f>
        <v>2427.9249999999993</v>
      </c>
      <c r="D18" s="23">
        <f t="shared" ref="D18:N18" si="2">+D13-D15-D16</f>
        <v>1959.8500000000022</v>
      </c>
      <c r="E18" s="23">
        <f t="shared" si="2"/>
        <v>1843.1039999999994</v>
      </c>
      <c r="F18" s="23">
        <f t="shared" si="2"/>
        <v>2158.5020000000004</v>
      </c>
      <c r="G18" s="23">
        <f t="shared" si="2"/>
        <v>3261.6540000000023</v>
      </c>
      <c r="H18" s="23">
        <f t="shared" si="2"/>
        <v>4555.2740000000013</v>
      </c>
      <c r="I18" s="23">
        <f t="shared" si="2"/>
        <v>5995.6110000000044</v>
      </c>
      <c r="J18" s="23">
        <f t="shared" si="2"/>
        <v>6070.6500000000015</v>
      </c>
      <c r="K18" s="23">
        <f t="shared" si="2"/>
        <v>5615.9519999999975</v>
      </c>
      <c r="L18" s="23">
        <f t="shared" si="2"/>
        <v>2329.0240000000013</v>
      </c>
      <c r="M18" s="23">
        <f t="shared" si="2"/>
        <v>4257.5</v>
      </c>
      <c r="N18" s="23">
        <f t="shared" si="2"/>
        <v>5910</v>
      </c>
      <c r="O18" s="13"/>
      <c r="P18" s="13"/>
      <c r="Q18" s="13"/>
      <c r="R18" s="13"/>
    </row>
    <row r="19" spans="1:18" s="27" customFormat="1">
      <c r="A19" s="4"/>
      <c r="B19" s="74" t="s">
        <v>4</v>
      </c>
      <c r="C19" s="87">
        <v>0.29299999999999998</v>
      </c>
      <c r="D19" s="87">
        <v>0.314</v>
      </c>
      <c r="E19" s="87">
        <v>0.28000000000000003</v>
      </c>
      <c r="F19" s="87">
        <v>0.27</v>
      </c>
      <c r="G19" s="87">
        <v>0.27</v>
      </c>
      <c r="H19" s="87">
        <v>0.28699999999999998</v>
      </c>
      <c r="I19" s="87">
        <v>0.28899999999999998</v>
      </c>
      <c r="J19" s="87">
        <v>0.3</v>
      </c>
      <c r="K19" s="87">
        <v>0.21299999999999999</v>
      </c>
      <c r="L19" s="88">
        <v>0.21299999999999999</v>
      </c>
      <c r="M19" s="87">
        <v>0.28999999999999998</v>
      </c>
      <c r="N19" s="87">
        <v>0.28999999999999998</v>
      </c>
      <c r="O19" s="28"/>
      <c r="P19" s="29"/>
      <c r="Q19" s="29"/>
      <c r="R19" s="28"/>
    </row>
    <row r="20" spans="1:18">
      <c r="A20" s="4" t="s">
        <v>13</v>
      </c>
      <c r="B20" s="74"/>
      <c r="C20" s="1">
        <f>+C19*C18</f>
        <v>711.38202499999977</v>
      </c>
      <c r="D20" s="1">
        <f t="shared" ref="D20:N20" si="3">+D19*D18</f>
        <v>615.39290000000074</v>
      </c>
      <c r="E20" s="1">
        <f t="shared" si="3"/>
        <v>516.06911999999988</v>
      </c>
      <c r="F20" s="1">
        <f t="shared" si="3"/>
        <v>582.79554000000019</v>
      </c>
      <c r="G20" s="1">
        <f t="shared" si="3"/>
        <v>880.64658000000065</v>
      </c>
      <c r="H20" s="1">
        <f t="shared" si="3"/>
        <v>1307.3636380000003</v>
      </c>
      <c r="I20" s="1">
        <f t="shared" si="3"/>
        <v>1732.7315790000011</v>
      </c>
      <c r="J20" s="1">
        <f t="shared" si="3"/>
        <v>1821.1950000000004</v>
      </c>
      <c r="K20" s="1">
        <f t="shared" si="3"/>
        <v>1196.1977759999995</v>
      </c>
      <c r="L20" s="1">
        <f t="shared" si="3"/>
        <v>496.08211200000028</v>
      </c>
      <c r="M20" s="1">
        <f t="shared" si="3"/>
        <v>1234.675</v>
      </c>
      <c r="N20" s="1">
        <f t="shared" si="3"/>
        <v>1713.8999999999999</v>
      </c>
      <c r="O20" s="10"/>
      <c r="P20" s="30"/>
      <c r="Q20" s="30"/>
      <c r="R20" s="10"/>
    </row>
    <row r="21" spans="1:18" s="27" customFormat="1">
      <c r="A21" s="4"/>
      <c r="B21" s="74" t="s">
        <v>5</v>
      </c>
      <c r="C21" s="27">
        <v>1.35</v>
      </c>
      <c r="D21" s="27">
        <v>1.6</v>
      </c>
      <c r="E21" s="27">
        <v>2.58</v>
      </c>
      <c r="F21" s="27">
        <v>2.57</v>
      </c>
      <c r="G21" s="27">
        <v>3.08</v>
      </c>
      <c r="H21" s="16">
        <v>3.6</v>
      </c>
      <c r="I21" s="16">
        <v>4.1399999999999997</v>
      </c>
      <c r="J21" s="27">
        <v>4.95</v>
      </c>
      <c r="K21" s="27">
        <v>6.67</v>
      </c>
      <c r="L21" s="27">
        <v>3.71</v>
      </c>
      <c r="M21" s="27">
        <v>3.55</v>
      </c>
      <c r="N21" s="27">
        <v>3.65</v>
      </c>
      <c r="O21" s="28"/>
      <c r="P21" s="28"/>
      <c r="Q21" s="28"/>
      <c r="R21" s="28"/>
    </row>
    <row r="22" spans="1:18" s="27" customFormat="1">
      <c r="A22" s="4"/>
      <c r="B22" s="74" t="s">
        <v>6</v>
      </c>
      <c r="C22" s="27">
        <v>686.79</v>
      </c>
      <c r="D22" s="27">
        <v>686.75</v>
      </c>
      <c r="E22" s="27">
        <v>688.51</v>
      </c>
      <c r="F22" s="27">
        <v>687.52</v>
      </c>
      <c r="G22" s="27">
        <v>685.87</v>
      </c>
      <c r="H22" s="27">
        <v>670.87</v>
      </c>
      <c r="I22" s="16">
        <v>645.80999999999995</v>
      </c>
      <c r="J22" s="27">
        <v>613.99</v>
      </c>
      <c r="K22" s="27">
        <v>601.53</v>
      </c>
      <c r="L22" s="27">
        <v>624.72</v>
      </c>
      <c r="M22" s="27">
        <v>635</v>
      </c>
      <c r="N22" s="27">
        <v>640</v>
      </c>
      <c r="O22" s="28"/>
      <c r="P22" s="29"/>
      <c r="Q22" s="29"/>
      <c r="R22" s="28"/>
    </row>
    <row r="23" spans="1:18">
      <c r="A23" s="4" t="s">
        <v>16</v>
      </c>
      <c r="B23" s="74"/>
      <c r="C23" s="1">
        <f>+C21*C22</f>
        <v>927.16650000000004</v>
      </c>
      <c r="D23" s="1">
        <f t="shared" ref="D23:N23" si="4">+D21*D22</f>
        <v>1098.8</v>
      </c>
      <c r="E23" s="1">
        <f t="shared" si="4"/>
        <v>1776.3558</v>
      </c>
      <c r="F23" s="1">
        <f t="shared" si="4"/>
        <v>1766.9263999999998</v>
      </c>
      <c r="G23" s="1">
        <f t="shared" si="4"/>
        <v>2112.4796000000001</v>
      </c>
      <c r="H23" s="1">
        <f t="shared" si="4"/>
        <v>2415.1320000000001</v>
      </c>
      <c r="I23" s="1">
        <f t="shared" si="4"/>
        <v>2673.6533999999997</v>
      </c>
      <c r="J23" s="1">
        <f t="shared" si="4"/>
        <v>3039.2505000000001</v>
      </c>
      <c r="K23" s="1">
        <f t="shared" si="4"/>
        <v>4012.2050999999997</v>
      </c>
      <c r="L23" s="1">
        <f t="shared" si="4"/>
        <v>2317.7112000000002</v>
      </c>
      <c r="M23" s="1">
        <f t="shared" si="4"/>
        <v>2254.25</v>
      </c>
      <c r="N23" s="1">
        <f t="shared" si="4"/>
        <v>2336</v>
      </c>
      <c r="O23" s="10"/>
      <c r="P23" s="10"/>
      <c r="Q23" s="10"/>
      <c r="R23" s="10"/>
    </row>
    <row r="24" spans="1:18" s="21" customFormat="1">
      <c r="A24" s="19"/>
      <c r="B24" s="75" t="s">
        <v>3</v>
      </c>
      <c r="C24" s="21">
        <v>3953</v>
      </c>
      <c r="D24" s="21">
        <v>3124</v>
      </c>
      <c r="E24" s="21">
        <v>3284</v>
      </c>
      <c r="F24" s="21">
        <v>4170</v>
      </c>
      <c r="G24" s="21">
        <v>4646</v>
      </c>
      <c r="H24" s="21">
        <v>3698</v>
      </c>
      <c r="I24" s="16">
        <v>3841</v>
      </c>
      <c r="J24" s="17">
        <v>3232</v>
      </c>
      <c r="K24" s="17">
        <v>5564</v>
      </c>
      <c r="L24" s="17">
        <v>7497</v>
      </c>
      <c r="M24" s="17">
        <v>8000</v>
      </c>
      <c r="N24" s="17">
        <v>8500</v>
      </c>
      <c r="O24" s="16"/>
      <c r="P24" s="18"/>
      <c r="Q24" s="18"/>
      <c r="R24" s="16"/>
    </row>
    <row r="25" spans="1:18" s="23" customFormat="1" ht="13.5" thickBot="1">
      <c r="A25" s="19" t="s">
        <v>14</v>
      </c>
      <c r="B25" s="31"/>
      <c r="C25" s="77"/>
      <c r="D25" s="77">
        <f>+D24-C24</f>
        <v>-829</v>
      </c>
      <c r="E25" s="77">
        <f t="shared" ref="E25:N25" si="5">+E24-D24</f>
        <v>160</v>
      </c>
      <c r="F25" s="77">
        <f t="shared" si="5"/>
        <v>886</v>
      </c>
      <c r="G25" s="77">
        <f t="shared" si="5"/>
        <v>476</v>
      </c>
      <c r="H25" s="77">
        <f t="shared" si="5"/>
        <v>-948</v>
      </c>
      <c r="I25" s="77">
        <f t="shared" si="5"/>
        <v>143</v>
      </c>
      <c r="J25" s="77">
        <f t="shared" si="5"/>
        <v>-609</v>
      </c>
      <c r="K25" s="77">
        <f t="shared" si="5"/>
        <v>2332</v>
      </c>
      <c r="L25" s="77">
        <f t="shared" si="5"/>
        <v>1933</v>
      </c>
      <c r="M25" s="77">
        <f t="shared" si="5"/>
        <v>503</v>
      </c>
      <c r="N25" s="77">
        <f t="shared" si="5"/>
        <v>500</v>
      </c>
      <c r="O25" s="13"/>
      <c r="P25" s="13"/>
      <c r="Q25" s="13"/>
      <c r="R25" s="13"/>
    </row>
    <row r="26" spans="1:18" s="35" customFormat="1" ht="15.75">
      <c r="A26" s="78" t="s">
        <v>15</v>
      </c>
      <c r="B26" s="79"/>
      <c r="C26" s="1"/>
      <c r="D26" s="67">
        <f t="shared" ref="D26:N26" si="6">+D13-D15-D20-D23-D25</f>
        <v>2243.6571000000013</v>
      </c>
      <c r="E26" s="67">
        <f t="shared" si="6"/>
        <v>610.6790799999992</v>
      </c>
      <c r="F26" s="67">
        <f t="shared" si="6"/>
        <v>269.7800600000005</v>
      </c>
      <c r="G26" s="67">
        <f t="shared" si="6"/>
        <v>1189.5278200000016</v>
      </c>
      <c r="H26" s="67">
        <f t="shared" si="6"/>
        <v>3257.7783620000005</v>
      </c>
      <c r="I26" s="67">
        <f t="shared" si="6"/>
        <v>3048.2260210000036</v>
      </c>
      <c r="J26" s="67">
        <f t="shared" si="6"/>
        <v>3616.2045000000007</v>
      </c>
      <c r="K26" s="67">
        <f t="shared" si="6"/>
        <v>55.549123999998756</v>
      </c>
      <c r="L26" s="67">
        <f t="shared" si="6"/>
        <v>-81.76931199999899</v>
      </c>
      <c r="M26" s="67">
        <f t="shared" si="6"/>
        <v>2690.5749999999998</v>
      </c>
      <c r="N26" s="67">
        <f t="shared" si="6"/>
        <v>3910.1000000000004</v>
      </c>
    </row>
    <row r="27" spans="1:18">
      <c r="B27" s="7"/>
      <c r="M27" s="1"/>
      <c r="N27" s="1"/>
    </row>
    <row r="28" spans="1:18">
      <c r="A28" s="3"/>
      <c r="B28" s="26"/>
      <c r="J28" s="13"/>
      <c r="K28" s="13"/>
      <c r="L28" s="13"/>
      <c r="M28" s="13"/>
      <c r="N28" s="13"/>
      <c r="O28" s="10"/>
      <c r="P28" s="10"/>
      <c r="Q28" s="10"/>
      <c r="R28" s="10"/>
    </row>
    <row r="29" spans="1:18">
      <c r="A29" s="3"/>
      <c r="B29" s="26"/>
      <c r="J29" s="13"/>
      <c r="K29" s="13"/>
      <c r="L29" s="13"/>
      <c r="M29" s="13"/>
      <c r="N29" s="13"/>
      <c r="O29" s="10"/>
      <c r="P29" s="10"/>
      <c r="Q29" s="10"/>
      <c r="R29" s="10"/>
    </row>
    <row r="30" spans="1:18" ht="15.75">
      <c r="A30" s="59" t="s">
        <v>27</v>
      </c>
      <c r="B30" s="58"/>
      <c r="J30" s="13"/>
      <c r="K30" s="13"/>
      <c r="L30" s="13"/>
      <c r="M30" s="13"/>
      <c r="N30" s="13"/>
      <c r="O30" s="10"/>
      <c r="P30" s="10"/>
      <c r="Q30" s="10"/>
      <c r="R30" s="10"/>
    </row>
    <row r="31" spans="1:18">
      <c r="A31" s="3" t="s">
        <v>47</v>
      </c>
      <c r="B31" s="26">
        <v>1.74</v>
      </c>
      <c r="J31" s="13"/>
      <c r="K31" s="13"/>
      <c r="L31" s="13"/>
      <c r="M31" s="13"/>
      <c r="N31" s="13"/>
      <c r="O31" s="10"/>
      <c r="P31" s="10"/>
      <c r="Q31" s="10"/>
      <c r="R31" s="10"/>
    </row>
    <row r="32" spans="1:18">
      <c r="A32" s="3" t="s">
        <v>45</v>
      </c>
      <c r="B32" s="26">
        <v>1.76</v>
      </c>
      <c r="J32" s="13"/>
      <c r="K32" s="13"/>
      <c r="L32" s="13"/>
      <c r="M32" s="13"/>
      <c r="N32" s="13"/>
      <c r="O32" s="10"/>
      <c r="P32" s="10"/>
      <c r="Q32" s="10"/>
      <c r="R32" s="10"/>
    </row>
    <row r="33" spans="1:18">
      <c r="A33" s="3" t="s">
        <v>46</v>
      </c>
      <c r="B33" s="26">
        <v>1.85</v>
      </c>
      <c r="J33" s="13"/>
      <c r="K33" s="13"/>
      <c r="L33" s="13"/>
      <c r="M33" s="13"/>
      <c r="N33" s="13"/>
      <c r="O33" s="10"/>
      <c r="P33" s="10"/>
      <c r="Q33" s="10"/>
      <c r="R33" s="10"/>
    </row>
    <row r="34" spans="1:18">
      <c r="A34" s="3" t="s">
        <v>48</v>
      </c>
      <c r="B34" s="26">
        <v>1.3</v>
      </c>
      <c r="J34" s="13"/>
      <c r="K34" s="13"/>
      <c r="L34" s="13"/>
      <c r="M34" s="13"/>
      <c r="N34" s="13"/>
      <c r="O34" s="10"/>
      <c r="P34" s="10"/>
      <c r="Q34" s="10"/>
      <c r="R34" s="10"/>
    </row>
    <row r="35" spans="1:18" ht="13.5">
      <c r="A35" s="5" t="s">
        <v>50</v>
      </c>
      <c r="B35" s="26">
        <f>+B32</f>
        <v>1.76</v>
      </c>
      <c r="J35" s="13"/>
      <c r="K35" s="13"/>
      <c r="L35" s="13"/>
      <c r="M35" s="13"/>
      <c r="N35" s="13"/>
      <c r="O35" s="10"/>
      <c r="P35" s="10"/>
      <c r="Q35" s="10"/>
      <c r="R35" s="10"/>
    </row>
    <row r="36" spans="1:18">
      <c r="A36" s="7" t="s">
        <v>9</v>
      </c>
      <c r="B36" s="60">
        <v>2.6599999999999999E-2</v>
      </c>
      <c r="J36" s="13"/>
      <c r="K36" s="13"/>
      <c r="L36" s="13"/>
      <c r="M36" s="13"/>
      <c r="N36" s="13"/>
      <c r="O36" s="10"/>
      <c r="P36" s="10"/>
      <c r="Q36" s="10"/>
      <c r="R36" s="10"/>
    </row>
    <row r="37" spans="1:18" ht="13.5" customHeight="1">
      <c r="A37" s="7" t="s">
        <v>28</v>
      </c>
      <c r="B37" s="60">
        <v>0.1</v>
      </c>
    </row>
    <row r="38" spans="1:18">
      <c r="B38" s="7"/>
    </row>
    <row r="39" spans="1:18">
      <c r="A39" s="1" t="s">
        <v>29</v>
      </c>
      <c r="B39" s="7"/>
    </row>
    <row r="40" spans="1:18" ht="15.75">
      <c r="A40" s="61" t="s">
        <v>30</v>
      </c>
      <c r="B40" s="62">
        <f>+B36+(B37-B36)*B35</f>
        <v>0.15578400000000003</v>
      </c>
    </row>
    <row r="41" spans="1:18" ht="15.75">
      <c r="A41" s="61" t="s">
        <v>32</v>
      </c>
      <c r="B41" s="62">
        <f>+B36</f>
        <v>2.6599999999999999E-2</v>
      </c>
    </row>
    <row r="42" spans="1:18" ht="15.75">
      <c r="A42" s="61"/>
      <c r="B42" s="62"/>
    </row>
    <row r="43" spans="1:18" ht="15.75">
      <c r="A43" s="56" t="s">
        <v>8</v>
      </c>
      <c r="B43" s="63"/>
      <c r="J43" s="13"/>
      <c r="K43" s="13"/>
      <c r="L43" s="13"/>
      <c r="M43" s="13"/>
      <c r="N43" s="13"/>
      <c r="O43" s="10"/>
      <c r="P43" s="10"/>
      <c r="Q43" s="10"/>
      <c r="R43" s="10"/>
    </row>
    <row r="44" spans="1:18">
      <c r="B44" s="7"/>
    </row>
    <row r="45" spans="1:18" ht="15.75">
      <c r="A45" s="7" t="s">
        <v>17</v>
      </c>
      <c r="B45" s="80">
        <f>+E4</f>
        <v>79.34</v>
      </c>
    </row>
    <row r="46" spans="1:18">
      <c r="A46" s="7"/>
      <c r="B46" s="7"/>
    </row>
    <row r="47" spans="1:18" ht="15.75">
      <c r="A47" s="7" t="s">
        <v>10</v>
      </c>
      <c r="B47" s="69">
        <f>+B45*698.997402</f>
        <v>55458.453874680003</v>
      </c>
    </row>
    <row r="48" spans="1:18">
      <c r="A48" s="7"/>
      <c r="B48" s="7"/>
    </row>
    <row r="49" spans="1:18" ht="15.75">
      <c r="A49" s="7" t="s">
        <v>18</v>
      </c>
      <c r="B49" s="89">
        <v>29100</v>
      </c>
    </row>
    <row r="50" spans="1:18">
      <c r="A50" s="7"/>
      <c r="B50" s="7"/>
    </row>
    <row r="51" spans="1:18" ht="15.75">
      <c r="A51" s="7" t="s">
        <v>19</v>
      </c>
      <c r="B51" s="69">
        <f>+B47+B49</f>
        <v>84558.45387468001</v>
      </c>
    </row>
    <row r="53" spans="1:18">
      <c r="A53" s="7" t="s">
        <v>20</v>
      </c>
      <c r="B53" s="7">
        <f>+AVERAGE(C19:N19)</f>
        <v>0.27575</v>
      </c>
    </row>
    <row r="55" spans="1:18" ht="15.75">
      <c r="A55" s="61" t="s">
        <v>31</v>
      </c>
      <c r="B55" s="68">
        <f>+(1-B53)*B41*B49/B51+B40*B47/B51</f>
        <v>0.10880228187530784</v>
      </c>
    </row>
    <row r="56" spans="1:18" ht="15.75">
      <c r="B56" s="68"/>
    </row>
    <row r="57" spans="1:18" ht="15.75">
      <c r="A57" s="56" t="s">
        <v>7</v>
      </c>
      <c r="B57" s="68"/>
      <c r="M57" s="1"/>
      <c r="N57" s="1"/>
    </row>
    <row r="58" spans="1:18" ht="16.5" thickBot="1">
      <c r="B58" s="68"/>
      <c r="C58" s="12">
        <f>+C12</f>
        <v>2000</v>
      </c>
      <c r="D58" s="12">
        <f>1+C58</f>
        <v>2001</v>
      </c>
      <c r="E58" s="12">
        <f t="shared" ref="E58:N58" si="7">1+D58</f>
        <v>2002</v>
      </c>
      <c r="F58" s="12">
        <f t="shared" si="7"/>
        <v>2003</v>
      </c>
      <c r="G58" s="12">
        <f t="shared" si="7"/>
        <v>2004</v>
      </c>
      <c r="H58" s="12">
        <f t="shared" si="7"/>
        <v>2005</v>
      </c>
      <c r="I58" s="12">
        <f t="shared" si="7"/>
        <v>2006</v>
      </c>
      <c r="J58" s="12">
        <f t="shared" si="7"/>
        <v>2007</v>
      </c>
      <c r="K58" s="12">
        <f t="shared" si="7"/>
        <v>2008</v>
      </c>
      <c r="L58" s="12">
        <f t="shared" si="7"/>
        <v>2009</v>
      </c>
      <c r="M58" s="12">
        <f t="shared" si="7"/>
        <v>2010</v>
      </c>
      <c r="N58" s="12">
        <f t="shared" si="7"/>
        <v>2011</v>
      </c>
      <c r="O58" s="10"/>
      <c r="P58" s="10"/>
      <c r="Q58" s="10"/>
      <c r="R58" s="10"/>
    </row>
    <row r="59" spans="1:18" ht="15.75">
      <c r="A59" s="23" t="s">
        <v>25</v>
      </c>
      <c r="B59" s="68"/>
      <c r="C59" s="23"/>
      <c r="D59" s="23">
        <f>+(D13-C13)/C13</f>
        <v>1.3630731102850062E-2</v>
      </c>
      <c r="E59" s="23">
        <f t="shared" ref="E59:N59" si="8">+(E13-D13)/D13</f>
        <v>-1.4572127139364304E-2</v>
      </c>
      <c r="F59" s="23">
        <f t="shared" si="8"/>
        <v>0.12956530369194125</v>
      </c>
      <c r="G59" s="23">
        <f t="shared" si="8"/>
        <v>0.3289548829240434</v>
      </c>
      <c r="H59" s="23">
        <f t="shared" si="8"/>
        <v>0.20124954546957124</v>
      </c>
      <c r="I59" s="23">
        <f t="shared" si="8"/>
        <v>0.14249153801700651</v>
      </c>
      <c r="J59" s="23">
        <f t="shared" si="8"/>
        <v>8.2881711106293804E-2</v>
      </c>
      <c r="K59" s="23">
        <f t="shared" si="8"/>
        <v>0.14159882557053249</v>
      </c>
      <c r="L59" s="23">
        <f t="shared" si="8"/>
        <v>-0.36879432624113473</v>
      </c>
      <c r="M59" s="23">
        <f t="shared" si="8"/>
        <v>0.25015434004198051</v>
      </c>
      <c r="N59" s="23">
        <f t="shared" si="8"/>
        <v>0.16049382716049382</v>
      </c>
      <c r="O59" s="10"/>
      <c r="P59" s="10"/>
      <c r="Q59" s="10"/>
      <c r="R59" s="10"/>
    </row>
    <row r="60" spans="1:18" ht="15.75">
      <c r="A60" s="62" t="s">
        <v>33</v>
      </c>
      <c r="B60" s="73"/>
      <c r="C60" s="23">
        <f>+AVERAGE(D59:N59)</f>
        <v>9.7059477427655846E-2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10"/>
      <c r="P60" s="10"/>
      <c r="Q60" s="10"/>
      <c r="R60" s="10"/>
    </row>
    <row r="61" spans="1:18" ht="15.75">
      <c r="A61" s="23" t="s">
        <v>42</v>
      </c>
      <c r="B61" s="7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10"/>
      <c r="P61" s="10"/>
      <c r="Q61" s="10"/>
      <c r="R61" s="10"/>
    </row>
    <row r="62" spans="1:18" ht="15.75">
      <c r="A62" s="62" t="s">
        <v>43</v>
      </c>
      <c r="B62" s="73"/>
      <c r="C62" s="90">
        <f>+AVERAGE(C14:N14)</f>
        <v>0.16208333333333333</v>
      </c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10"/>
      <c r="P62" s="10"/>
      <c r="Q62" s="10"/>
      <c r="R62" s="10"/>
    </row>
    <row r="63" spans="1:18" ht="15.75">
      <c r="B63" s="73"/>
      <c r="C63" s="1">
        <f>+C16/C13</f>
        <v>5.0656753407682775E-2</v>
      </c>
      <c r="D63" s="1">
        <f t="shared" ref="D63:N63" si="9">+D16/D13</f>
        <v>5.7163814180929098E-2</v>
      </c>
      <c r="E63" s="1">
        <f t="shared" si="9"/>
        <v>6.0539896784438267E-2</v>
      </c>
      <c r="F63" s="1">
        <f t="shared" si="9"/>
        <v>5.9174976936256209E-2</v>
      </c>
      <c r="G63" s="1">
        <f t="shared" si="9"/>
        <v>4.6180291560609564E-2</v>
      </c>
      <c r="H63" s="1">
        <f t="shared" si="9"/>
        <v>4.0645037012576019E-2</v>
      </c>
      <c r="I63" s="1">
        <f t="shared" si="9"/>
        <v>3.8586603078257099E-2</v>
      </c>
      <c r="J63" s="1">
        <f t="shared" si="9"/>
        <v>3.9970639263312423E-2</v>
      </c>
      <c r="K63" s="1">
        <f t="shared" si="9"/>
        <v>3.8578442833761981E-2</v>
      </c>
      <c r="L63" s="1">
        <f t="shared" si="9"/>
        <v>7.2107667613285589E-2</v>
      </c>
      <c r="M63" s="1">
        <f t="shared" si="9"/>
        <v>5.9876543209876544E-2</v>
      </c>
      <c r="N63" s="1">
        <f t="shared" si="9"/>
        <v>5.4255319148936172E-2</v>
      </c>
      <c r="O63" s="10"/>
      <c r="P63" s="10"/>
      <c r="Q63" s="10"/>
      <c r="R63" s="10"/>
    </row>
    <row r="64" spans="1:18" ht="15.75">
      <c r="A64" s="62" t="s">
        <v>38</v>
      </c>
      <c r="B64" s="73"/>
      <c r="C64" s="1">
        <f>+AVERAGE(C63:N63)</f>
        <v>5.1477998752493488E-2</v>
      </c>
      <c r="O64" s="10"/>
      <c r="P64" s="10"/>
      <c r="Q64" s="10"/>
      <c r="R64" s="10"/>
    </row>
    <row r="65" spans="1:18" ht="15.75">
      <c r="B65" s="73"/>
      <c r="O65" s="10"/>
      <c r="P65" s="10"/>
      <c r="Q65" s="10"/>
      <c r="R65" s="10"/>
    </row>
    <row r="66" spans="1:18" ht="15.75">
      <c r="A66" s="62" t="s">
        <v>37</v>
      </c>
      <c r="B66" s="73"/>
      <c r="C66" s="1">
        <f>+AVERAGE(C19:N19)</f>
        <v>0.27575</v>
      </c>
      <c r="O66" s="10"/>
      <c r="P66" s="10"/>
      <c r="Q66" s="10"/>
      <c r="R66" s="10"/>
    </row>
    <row r="67" spans="1:18" ht="15.75">
      <c r="B67" s="73"/>
      <c r="M67" s="1"/>
      <c r="N67" s="1"/>
      <c r="O67" s="10"/>
      <c r="P67" s="10"/>
      <c r="Q67" s="10"/>
      <c r="R67" s="10"/>
    </row>
    <row r="68" spans="1:18" ht="15.75">
      <c r="A68" s="62"/>
      <c r="B68" s="73"/>
      <c r="C68" s="1">
        <f t="shared" ref="C68:N68" si="10">+C23/C13</f>
        <v>4.5956208178438665E-2</v>
      </c>
      <c r="D68" s="1">
        <f t="shared" si="10"/>
        <v>5.3731051344743277E-2</v>
      </c>
      <c r="E68" s="1">
        <f t="shared" si="10"/>
        <v>8.8147866216752677E-2</v>
      </c>
      <c r="F68" s="1">
        <f t="shared" si="10"/>
        <v>7.7622738654834586E-2</v>
      </c>
      <c r="G68" s="1">
        <f t="shared" si="10"/>
        <v>6.9831727876764407E-2</v>
      </c>
      <c r="H68" s="1">
        <f t="shared" si="10"/>
        <v>6.6461157434161644E-2</v>
      </c>
      <c r="I68" s="1">
        <f t="shared" si="10"/>
        <v>6.4399002818122691E-2</v>
      </c>
      <c r="J68" s="1">
        <f t="shared" si="10"/>
        <v>6.7601995195515824E-2</v>
      </c>
      <c r="K68" s="1">
        <f t="shared" si="10"/>
        <v>7.8174053074584984E-2</v>
      </c>
      <c r="L68" s="1">
        <f t="shared" si="10"/>
        <v>7.1543128781331039E-2</v>
      </c>
      <c r="M68" s="1">
        <f t="shared" si="10"/>
        <v>5.5660493827160491E-2</v>
      </c>
      <c r="N68" s="1">
        <f t="shared" si="10"/>
        <v>4.970212765957447E-2</v>
      </c>
      <c r="O68" s="10"/>
      <c r="P68" s="10"/>
      <c r="Q68" s="10"/>
      <c r="R68" s="10"/>
    </row>
    <row r="69" spans="1:18" ht="15.75">
      <c r="A69" s="62" t="s">
        <v>39</v>
      </c>
      <c r="B69" s="73"/>
      <c r="C69" s="1">
        <f>+AVERAGE(C68:N68)</f>
        <v>6.5735962588498745E-2</v>
      </c>
      <c r="O69" s="10"/>
      <c r="P69" s="10"/>
      <c r="Q69" s="10"/>
      <c r="R69" s="10"/>
    </row>
    <row r="70" spans="1:18" ht="15.75">
      <c r="A70" s="62"/>
      <c r="B70" s="73"/>
      <c r="C70" s="1">
        <f>+C24/C13</f>
        <v>0.19593556381660471</v>
      </c>
      <c r="D70" s="1">
        <f t="shared" ref="D70:N70" si="11">+D24/D13</f>
        <v>0.15276283618581907</v>
      </c>
      <c r="E70" s="1">
        <f t="shared" si="11"/>
        <v>0.1629614926558158</v>
      </c>
      <c r="F70" s="1">
        <f t="shared" si="11"/>
        <v>0.18319202214119404</v>
      </c>
      <c r="G70" s="1">
        <f t="shared" si="11"/>
        <v>0.15358169977851971</v>
      </c>
      <c r="H70" s="1">
        <f t="shared" si="11"/>
        <v>0.10176394507278681</v>
      </c>
      <c r="I70" s="1">
        <f t="shared" si="11"/>
        <v>9.2516318616470361E-2</v>
      </c>
      <c r="J70" s="1">
        <f t="shared" si="11"/>
        <v>7.1889318919880776E-2</v>
      </c>
      <c r="K70" s="1">
        <f t="shared" si="11"/>
        <v>0.10840932117527863</v>
      </c>
      <c r="L70" s="1">
        <f t="shared" si="11"/>
        <v>0.23141745894554883</v>
      </c>
      <c r="M70" s="1">
        <f t="shared" si="11"/>
        <v>0.19753086419753085</v>
      </c>
      <c r="N70" s="1">
        <f t="shared" si="11"/>
        <v>0.18085106382978725</v>
      </c>
      <c r="O70" s="10"/>
      <c r="P70" s="10"/>
      <c r="Q70" s="10"/>
      <c r="R70" s="10"/>
    </row>
    <row r="71" spans="1:18" ht="15.75">
      <c r="A71" s="62" t="s">
        <v>40</v>
      </c>
      <c r="B71" s="73"/>
      <c r="C71" s="1">
        <f>+AVERAGE(C70:N70)</f>
        <v>0.15273432544460308</v>
      </c>
      <c r="M71" s="1"/>
      <c r="N71" s="1"/>
      <c r="O71" s="10"/>
      <c r="P71" s="10"/>
      <c r="Q71" s="10"/>
      <c r="R71" s="10"/>
    </row>
    <row r="72" spans="1:18" ht="15.75">
      <c r="A72" s="62"/>
      <c r="B72" s="62"/>
      <c r="M72" s="1"/>
      <c r="N72" s="1"/>
      <c r="O72" s="10"/>
      <c r="P72" s="10"/>
      <c r="Q72" s="10"/>
      <c r="R72" s="10"/>
    </row>
    <row r="73" spans="1:18" ht="15.75">
      <c r="A73" s="56" t="s">
        <v>41</v>
      </c>
      <c r="B73" s="62"/>
      <c r="M73" s="1"/>
      <c r="N73" s="1"/>
      <c r="O73" s="10"/>
      <c r="P73" s="10"/>
      <c r="Q73" s="10"/>
      <c r="R73" s="10"/>
    </row>
    <row r="74" spans="1:18" ht="16.5" thickBot="1">
      <c r="A74" s="62"/>
      <c r="B74" s="62"/>
      <c r="C74" s="64">
        <f>+N12</f>
        <v>2011</v>
      </c>
      <c r="D74" s="12">
        <f>1+C74</f>
        <v>2012</v>
      </c>
      <c r="E74" s="12">
        <f t="shared" ref="E74:N74" si="12">1+D74</f>
        <v>2013</v>
      </c>
      <c r="F74" s="12">
        <f t="shared" si="12"/>
        <v>2014</v>
      </c>
      <c r="G74" s="12">
        <f t="shared" si="12"/>
        <v>2015</v>
      </c>
      <c r="H74" s="12">
        <f t="shared" si="12"/>
        <v>2016</v>
      </c>
      <c r="I74" s="12">
        <f t="shared" si="12"/>
        <v>2017</v>
      </c>
      <c r="J74" s="12">
        <f t="shared" si="12"/>
        <v>2018</v>
      </c>
      <c r="K74" s="12">
        <f t="shared" si="12"/>
        <v>2019</v>
      </c>
      <c r="L74" s="12">
        <f t="shared" si="12"/>
        <v>2020</v>
      </c>
      <c r="M74" s="12">
        <f t="shared" si="12"/>
        <v>2021</v>
      </c>
      <c r="N74" s="71">
        <f t="shared" si="12"/>
        <v>2022</v>
      </c>
      <c r="O74" s="10"/>
      <c r="P74" s="10"/>
      <c r="Q74" s="10"/>
      <c r="R74" s="10"/>
    </row>
    <row r="75" spans="1:18" ht="15.75">
      <c r="A75" s="62"/>
      <c r="B75" s="62"/>
      <c r="C75" s="65"/>
      <c r="N75" s="72"/>
      <c r="O75" s="10"/>
      <c r="P75" s="10"/>
      <c r="Q75" s="10"/>
      <c r="R75" s="10"/>
    </row>
    <row r="76" spans="1:18">
      <c r="A76" s="15" t="s">
        <v>0</v>
      </c>
      <c r="B76" s="11"/>
      <c r="C76" s="66">
        <f>+N13</f>
        <v>47000</v>
      </c>
      <c r="D76" s="1">
        <f>+C76*(1+$C$60)</f>
        <v>51561.795439099827</v>
      </c>
      <c r="E76" s="1">
        <f t="shared" ref="E76:N76" si="13">+D76*(1+$C$60)</f>
        <v>56566.356359650548</v>
      </c>
      <c r="F76" s="1">
        <f t="shared" si="13"/>
        <v>62056.657347904787</v>
      </c>
      <c r="G76" s="1">
        <f t="shared" si="13"/>
        <v>68079.844080999523</v>
      </c>
      <c r="H76" s="1">
        <f t="shared" si="13"/>
        <v>74687.638170857623</v>
      </c>
      <c r="I76" s="1">
        <f t="shared" si="13"/>
        <v>81936.78130202691</v>
      </c>
      <c r="J76" s="1">
        <f t="shared" si="13"/>
        <v>89889.522477305771</v>
      </c>
      <c r="K76" s="1">
        <f t="shared" si="13"/>
        <v>98614.152555174587</v>
      </c>
      <c r="L76" s="1">
        <f t="shared" si="13"/>
        <v>108185.59066915097</v>
      </c>
      <c r="M76" s="1">
        <f t="shared" si="13"/>
        <v>118686.02756470104</v>
      </c>
      <c r="N76" s="1">
        <f t="shared" si="13"/>
        <v>130205.63137809529</v>
      </c>
      <c r="O76" s="10"/>
      <c r="P76" s="10"/>
      <c r="Q76" s="10"/>
      <c r="R76" s="10"/>
    </row>
    <row r="77" spans="1:18">
      <c r="A77" s="19"/>
      <c r="B77" s="20" t="s">
        <v>1</v>
      </c>
      <c r="C77" s="66">
        <f t="shared" ref="C77:C89" si="14">+N14</f>
        <v>0.18</v>
      </c>
      <c r="D77" s="1">
        <f>+C77</f>
        <v>0.18</v>
      </c>
      <c r="E77" s="1">
        <f t="shared" ref="E77:N77" si="15">+D77</f>
        <v>0.18</v>
      </c>
      <c r="F77" s="1">
        <f t="shared" si="15"/>
        <v>0.18</v>
      </c>
      <c r="G77" s="1">
        <f t="shared" si="15"/>
        <v>0.18</v>
      </c>
      <c r="H77" s="1">
        <f t="shared" si="15"/>
        <v>0.18</v>
      </c>
      <c r="I77" s="1">
        <f t="shared" si="15"/>
        <v>0.18</v>
      </c>
      <c r="J77" s="1">
        <f t="shared" si="15"/>
        <v>0.18</v>
      </c>
      <c r="K77" s="1">
        <f t="shared" si="15"/>
        <v>0.18</v>
      </c>
      <c r="L77" s="1">
        <f t="shared" si="15"/>
        <v>0.18</v>
      </c>
      <c r="M77" s="1">
        <f t="shared" si="15"/>
        <v>0.18</v>
      </c>
      <c r="N77" s="1">
        <f t="shared" si="15"/>
        <v>0.18</v>
      </c>
      <c r="O77" s="10"/>
      <c r="P77" s="10"/>
      <c r="Q77" s="10"/>
      <c r="R77" s="10"/>
    </row>
    <row r="78" spans="1:18">
      <c r="A78" s="22" t="s">
        <v>11</v>
      </c>
      <c r="B78" s="20"/>
      <c r="C78" s="66">
        <f t="shared" si="14"/>
        <v>38540</v>
      </c>
      <c r="D78" s="1">
        <f>+D76*(1-D77)</f>
        <v>42280.67226006186</v>
      </c>
      <c r="E78" s="1">
        <f t="shared" ref="E78:N78" si="16">+E76*(1-E77)</f>
        <v>46384.412214913456</v>
      </c>
      <c r="F78" s="1">
        <f t="shared" si="16"/>
        <v>50886.459025281933</v>
      </c>
      <c r="G78" s="1">
        <f t="shared" si="16"/>
        <v>55825.472146419612</v>
      </c>
      <c r="H78" s="1">
        <f t="shared" si="16"/>
        <v>61243.863300103258</v>
      </c>
      <c r="I78" s="1">
        <f t="shared" si="16"/>
        <v>67188.160667662072</v>
      </c>
      <c r="J78" s="1">
        <f t="shared" si="16"/>
        <v>73709.408431390737</v>
      </c>
      <c r="K78" s="1">
        <f t="shared" si="16"/>
        <v>80863.605095243169</v>
      </c>
      <c r="L78" s="1">
        <f t="shared" si="16"/>
        <v>88712.184348703799</v>
      </c>
      <c r="M78" s="1">
        <f t="shared" si="16"/>
        <v>97322.542603054855</v>
      </c>
      <c r="N78" s="1">
        <f t="shared" si="16"/>
        <v>106768.61773003815</v>
      </c>
      <c r="O78" s="10"/>
      <c r="P78" s="10"/>
      <c r="Q78" s="10"/>
      <c r="R78" s="10"/>
    </row>
    <row r="79" spans="1:18">
      <c r="A79" s="19" t="s">
        <v>2</v>
      </c>
      <c r="B79" s="25"/>
      <c r="C79" s="66">
        <f t="shared" si="14"/>
        <v>2550</v>
      </c>
      <c r="D79" s="1">
        <f>+$C$64*D76</f>
        <v>2654.2980412903053</v>
      </c>
      <c r="E79" s="1">
        <f t="shared" ref="E79:N79" si="17">+$C$64*E76</f>
        <v>2911.922822115193</v>
      </c>
      <c r="F79" s="1">
        <f t="shared" si="17"/>
        <v>3194.5525295393586</v>
      </c>
      <c r="G79" s="1">
        <f t="shared" si="17"/>
        <v>3504.6141286716447</v>
      </c>
      <c r="H79" s="1">
        <f t="shared" si="17"/>
        <v>3844.7701445860939</v>
      </c>
      <c r="I79" s="1">
        <f t="shared" si="17"/>
        <v>4217.9415256490729</v>
      </c>
      <c r="J79" s="1">
        <f t="shared" si="17"/>
        <v>4627.3327259489815</v>
      </c>
      <c r="K79" s="1">
        <f t="shared" si="17"/>
        <v>5076.4592222134797</v>
      </c>
      <c r="L79" s="1">
        <f t="shared" si="17"/>
        <v>5569.1777015043253</v>
      </c>
      <c r="M79" s="1">
        <f t="shared" si="17"/>
        <v>6109.7191789140879</v>
      </c>
      <c r="N79" s="1">
        <f t="shared" si="17"/>
        <v>6702.7253296492163</v>
      </c>
      <c r="O79" s="10"/>
      <c r="P79" s="10"/>
      <c r="Q79" s="10"/>
      <c r="R79" s="10"/>
    </row>
    <row r="80" spans="1:18">
      <c r="A80" s="19"/>
      <c r="B80" s="25"/>
      <c r="C80" s="66">
        <f t="shared" si="14"/>
        <v>0</v>
      </c>
      <c r="N80" s="72"/>
      <c r="O80" s="10"/>
      <c r="P80" s="10"/>
      <c r="Q80" s="10"/>
      <c r="R80" s="10"/>
    </row>
    <row r="81" spans="1:18">
      <c r="A81" s="19" t="s">
        <v>12</v>
      </c>
      <c r="B81" s="25"/>
      <c r="C81" s="66">
        <f t="shared" si="14"/>
        <v>5910</v>
      </c>
      <c r="D81" s="1">
        <f>+D76-D78-D79</f>
        <v>6626.8251377476627</v>
      </c>
      <c r="E81" s="1">
        <f t="shared" ref="E81:N81" si="18">+E76-E78-E79</f>
        <v>7270.0213226218984</v>
      </c>
      <c r="F81" s="1">
        <f t="shared" si="18"/>
        <v>7975.6457930834968</v>
      </c>
      <c r="G81" s="1">
        <f t="shared" si="18"/>
        <v>8749.7578059082662</v>
      </c>
      <c r="H81" s="1">
        <f t="shared" si="18"/>
        <v>9599.0047261682703</v>
      </c>
      <c r="I81" s="1">
        <f t="shared" si="18"/>
        <v>10530.679108715765</v>
      </c>
      <c r="J81" s="1">
        <f t="shared" si="18"/>
        <v>11552.781319966052</v>
      </c>
      <c r="K81" s="1">
        <f t="shared" si="18"/>
        <v>12674.088237717939</v>
      </c>
      <c r="L81" s="1">
        <f t="shared" si="18"/>
        <v>13904.228618942849</v>
      </c>
      <c r="M81" s="1">
        <f t="shared" si="18"/>
        <v>15253.765782732098</v>
      </c>
      <c r="N81" s="1">
        <f t="shared" si="18"/>
        <v>16734.288318407922</v>
      </c>
      <c r="O81" s="10"/>
      <c r="P81" s="10"/>
      <c r="Q81" s="10"/>
      <c r="R81" s="10"/>
    </row>
    <row r="82" spans="1:18">
      <c r="A82" s="4"/>
      <c r="B82" s="26" t="s">
        <v>4</v>
      </c>
      <c r="C82" s="66">
        <f t="shared" si="14"/>
        <v>0.28999999999999998</v>
      </c>
      <c r="D82" s="1">
        <f>+C82</f>
        <v>0.28999999999999998</v>
      </c>
      <c r="E82" s="1">
        <f t="shared" ref="E82:N82" si="19">+D82</f>
        <v>0.28999999999999998</v>
      </c>
      <c r="F82" s="1">
        <f t="shared" si="19"/>
        <v>0.28999999999999998</v>
      </c>
      <c r="G82" s="1">
        <f t="shared" si="19"/>
        <v>0.28999999999999998</v>
      </c>
      <c r="H82" s="1">
        <f t="shared" si="19"/>
        <v>0.28999999999999998</v>
      </c>
      <c r="I82" s="1">
        <f t="shared" si="19"/>
        <v>0.28999999999999998</v>
      </c>
      <c r="J82" s="1">
        <f t="shared" si="19"/>
        <v>0.28999999999999998</v>
      </c>
      <c r="K82" s="1">
        <f t="shared" si="19"/>
        <v>0.28999999999999998</v>
      </c>
      <c r="L82" s="1">
        <f t="shared" si="19"/>
        <v>0.28999999999999998</v>
      </c>
      <c r="M82" s="1">
        <f t="shared" si="19"/>
        <v>0.28999999999999998</v>
      </c>
      <c r="N82" s="1">
        <f t="shared" si="19"/>
        <v>0.28999999999999998</v>
      </c>
      <c r="O82" s="10"/>
      <c r="P82" s="10"/>
      <c r="Q82" s="10"/>
      <c r="R82" s="10"/>
    </row>
    <row r="83" spans="1:18">
      <c r="A83" s="4" t="s">
        <v>13</v>
      </c>
      <c r="B83" s="26"/>
      <c r="C83" s="66">
        <f t="shared" si="14"/>
        <v>1713.8999999999999</v>
      </c>
      <c r="D83" s="1">
        <f>+D82*D81</f>
        <v>1921.779289946822</v>
      </c>
      <c r="E83" s="1">
        <f t="shared" ref="E83:N83" si="20">+E82*E81</f>
        <v>2108.3061835603503</v>
      </c>
      <c r="F83" s="1">
        <f t="shared" si="20"/>
        <v>2312.9372799942139</v>
      </c>
      <c r="G83" s="1">
        <f t="shared" si="20"/>
        <v>2537.4297637133968</v>
      </c>
      <c r="H83" s="1">
        <f t="shared" si="20"/>
        <v>2783.7113705887982</v>
      </c>
      <c r="I83" s="1">
        <f t="shared" si="20"/>
        <v>3053.8969415275719</v>
      </c>
      <c r="J83" s="1">
        <f t="shared" si="20"/>
        <v>3350.3065827901551</v>
      </c>
      <c r="K83" s="1">
        <f t="shared" si="20"/>
        <v>3675.485588938202</v>
      </c>
      <c r="L83" s="1">
        <f t="shared" si="20"/>
        <v>4032.2262994934258</v>
      </c>
      <c r="M83" s="1">
        <f t="shared" si="20"/>
        <v>4423.5920769923077</v>
      </c>
      <c r="N83" s="1">
        <f t="shared" si="20"/>
        <v>4852.9436123382966</v>
      </c>
      <c r="O83" s="10"/>
      <c r="P83" s="10"/>
      <c r="Q83" s="10"/>
      <c r="R83" s="10"/>
    </row>
    <row r="84" spans="1:18">
      <c r="A84" s="4"/>
      <c r="B84" s="26" t="s">
        <v>5</v>
      </c>
      <c r="C84" s="66">
        <f t="shared" si="14"/>
        <v>3.65</v>
      </c>
      <c r="N84" s="72"/>
      <c r="O84" s="10"/>
      <c r="P84" s="10"/>
      <c r="Q84" s="10"/>
      <c r="R84" s="10"/>
    </row>
    <row r="85" spans="1:18">
      <c r="A85" s="4"/>
      <c r="B85" s="26" t="s">
        <v>6</v>
      </c>
      <c r="C85" s="66">
        <f t="shared" si="14"/>
        <v>640</v>
      </c>
      <c r="N85" s="72"/>
      <c r="O85" s="10"/>
      <c r="P85" s="10"/>
      <c r="Q85" s="10"/>
      <c r="R85" s="10"/>
    </row>
    <row r="86" spans="1:18">
      <c r="A86" s="4" t="s">
        <v>16</v>
      </c>
      <c r="B86" s="26"/>
      <c r="C86" s="66">
        <f t="shared" si="14"/>
        <v>2336</v>
      </c>
      <c r="D86" s="1">
        <f>+D76*$C$69</f>
        <v>3389.4642559804915</v>
      </c>
      <c r="E86" s="1">
        <f t="shared" ref="E86:N86" si="21">+E76*$C$69</f>
        <v>3718.4438854256764</v>
      </c>
      <c r="F86" s="1">
        <f t="shared" si="21"/>
        <v>4079.3541057891548</v>
      </c>
      <c r="G86" s="1">
        <f t="shared" si="21"/>
        <v>4475.294083539412</v>
      </c>
      <c r="H86" s="1">
        <f t="shared" si="21"/>
        <v>4909.6637886228273</v>
      </c>
      <c r="I86" s="1">
        <f t="shared" si="21"/>
        <v>5386.1931902920442</v>
      </c>
      <c r="J86" s="1">
        <f t="shared" si="21"/>
        <v>5908.9742866661891</v>
      </c>
      <c r="K86" s="1">
        <f t="shared" si="21"/>
        <v>6482.4962430634641</v>
      </c>
      <c r="L86" s="1">
        <f t="shared" si="21"/>
        <v>7111.6839408419473</v>
      </c>
      <c r="M86" s="1">
        <f t="shared" si="21"/>
        <v>7801.9402677707185</v>
      </c>
      <c r="N86" s="1">
        <f t="shared" si="21"/>
        <v>8559.1925130823311</v>
      </c>
      <c r="O86" s="10"/>
      <c r="P86" s="10"/>
      <c r="Q86" s="10"/>
      <c r="R86" s="10"/>
    </row>
    <row r="87" spans="1:18">
      <c r="A87" s="19"/>
      <c r="B87" s="25" t="s">
        <v>3</v>
      </c>
      <c r="C87" s="66">
        <f t="shared" si="14"/>
        <v>8500</v>
      </c>
      <c r="D87" s="1">
        <f>+D76*$C$71</f>
        <v>7875.2560451035242</v>
      </c>
      <c r="E87" s="1">
        <f t="shared" ref="E87:N87" si="22">+E76*$C$71</f>
        <v>8639.6242814502602</v>
      </c>
      <c r="F87" s="1">
        <f t="shared" si="22"/>
        <v>9478.181699379109</v>
      </c>
      <c r="G87" s="1">
        <f t="shared" si="22"/>
        <v>10398.129062085216</v>
      </c>
      <c r="H87" s="1">
        <f t="shared" si="22"/>
        <v>11407.366035076528</v>
      </c>
      <c r="I87" s="1">
        <f t="shared" si="22"/>
        <v>12514.559021267047</v>
      </c>
      <c r="J87" s="1">
        <f t="shared" si="22"/>
        <v>13729.215580108783</v>
      </c>
      <c r="K87" s="1">
        <f t="shared" si="22"/>
        <v>15061.766069805772</v>
      </c>
      <c r="L87" s="1">
        <f t="shared" si="22"/>
        <v>16523.653213678721</v>
      </c>
      <c r="M87" s="1">
        <f t="shared" si="22"/>
        <v>18127.43035979418</v>
      </c>
      <c r="N87" s="1">
        <f t="shared" si="22"/>
        <v>19886.86927762203</v>
      </c>
      <c r="O87" s="10"/>
      <c r="P87" s="10"/>
      <c r="Q87" s="10"/>
      <c r="R87" s="10"/>
    </row>
    <row r="88" spans="1:18">
      <c r="A88" s="19" t="s">
        <v>14</v>
      </c>
      <c r="B88" s="31"/>
      <c r="C88" s="66">
        <f t="shared" si="14"/>
        <v>500</v>
      </c>
      <c r="D88" s="1">
        <f>+D87-C87</f>
        <v>-624.74395489647577</v>
      </c>
      <c r="E88" s="1">
        <f t="shared" ref="E88:N88" si="23">+E87-D87</f>
        <v>764.36823634673601</v>
      </c>
      <c r="F88" s="1">
        <f t="shared" si="23"/>
        <v>838.55741792884874</v>
      </c>
      <c r="G88" s="1">
        <f t="shared" si="23"/>
        <v>919.94736270610701</v>
      </c>
      <c r="H88" s="1">
        <f t="shared" si="23"/>
        <v>1009.2369729913116</v>
      </c>
      <c r="I88" s="1">
        <f t="shared" si="23"/>
        <v>1107.1929861905192</v>
      </c>
      <c r="J88" s="1">
        <f t="shared" si="23"/>
        <v>1214.6565588417361</v>
      </c>
      <c r="K88" s="1">
        <f t="shared" si="23"/>
        <v>1332.5504896969887</v>
      </c>
      <c r="L88" s="1">
        <f t="shared" si="23"/>
        <v>1461.8871438729493</v>
      </c>
      <c r="M88" s="1">
        <f t="shared" si="23"/>
        <v>1603.7771461154589</v>
      </c>
      <c r="N88" s="1">
        <f t="shared" si="23"/>
        <v>1759.4389178278507</v>
      </c>
      <c r="O88" s="10"/>
      <c r="P88" s="10"/>
      <c r="Q88" s="10"/>
      <c r="R88" s="10"/>
    </row>
    <row r="89" spans="1:18" ht="15.75">
      <c r="A89" s="32" t="s">
        <v>44</v>
      </c>
      <c r="B89" s="33"/>
      <c r="C89" s="66">
        <f t="shared" si="14"/>
        <v>3910.1000000000004</v>
      </c>
      <c r="D89" s="34">
        <f>+D76-D78-D83-D86-D88</f>
        <v>4594.6235880071299</v>
      </c>
      <c r="E89" s="34">
        <f t="shared" ref="E89:N89" si="24">+E76-E78-E83-E86-E88</f>
        <v>3590.8258394043296</v>
      </c>
      <c r="F89" s="34">
        <f t="shared" si="24"/>
        <v>3939.3495189106379</v>
      </c>
      <c r="G89" s="34">
        <f t="shared" si="24"/>
        <v>4321.7007246209951</v>
      </c>
      <c r="H89" s="34">
        <f t="shared" si="24"/>
        <v>4741.1627385514275</v>
      </c>
      <c r="I89" s="34">
        <f t="shared" si="24"/>
        <v>5201.3375163547025</v>
      </c>
      <c r="J89" s="34">
        <f t="shared" si="24"/>
        <v>5706.1766176169531</v>
      </c>
      <c r="K89" s="34">
        <f t="shared" si="24"/>
        <v>6260.015138232764</v>
      </c>
      <c r="L89" s="34">
        <f t="shared" si="24"/>
        <v>6867.608936238852</v>
      </c>
      <c r="M89" s="34">
        <f t="shared" si="24"/>
        <v>7534.1754707677028</v>
      </c>
      <c r="N89" s="34">
        <f t="shared" si="24"/>
        <v>8265.4386048086581</v>
      </c>
      <c r="O89" s="10"/>
      <c r="P89" s="10"/>
      <c r="Q89" s="10"/>
      <c r="R89" s="10"/>
    </row>
    <row r="90" spans="1:18" ht="15.75">
      <c r="A90" s="62"/>
      <c r="B90" s="62"/>
      <c r="O90" s="10"/>
      <c r="P90" s="10"/>
      <c r="Q90" s="10"/>
      <c r="R90" s="10"/>
    </row>
    <row r="91" spans="1:18">
      <c r="B91" s="26"/>
      <c r="J91" s="13"/>
      <c r="K91" s="13"/>
      <c r="L91" s="13"/>
      <c r="M91" s="13"/>
      <c r="N91" s="13"/>
      <c r="O91" s="10"/>
      <c r="P91" s="10"/>
      <c r="Q91" s="10"/>
      <c r="R91" s="10"/>
    </row>
    <row r="92" spans="1:18" s="39" customFormat="1" ht="13.5">
      <c r="A92" s="1"/>
      <c r="B92" s="1"/>
      <c r="C92" s="7"/>
      <c r="N92" s="40"/>
    </row>
    <row r="93" spans="1:18" s="39" customFormat="1" ht="20.25">
      <c r="A93" s="56" t="s">
        <v>34</v>
      </c>
      <c r="B93" s="41"/>
      <c r="C93" s="7"/>
      <c r="N93" s="40"/>
    </row>
    <row r="94" spans="1:18">
      <c r="M94" s="1"/>
      <c r="N94" s="1"/>
    </row>
    <row r="95" spans="1:18" s="36" customFormat="1" ht="15.75">
      <c r="A95" s="38" t="s">
        <v>8</v>
      </c>
      <c r="B95" s="73"/>
    </row>
    <row r="96" spans="1:18" ht="16.5" thickBot="1">
      <c r="A96" s="62"/>
      <c r="B96" s="62"/>
      <c r="C96" s="64">
        <f>+C74</f>
        <v>2011</v>
      </c>
      <c r="D96" s="12">
        <f>1+C96</f>
        <v>2012</v>
      </c>
      <c r="E96" s="12">
        <f t="shared" ref="E96:N96" si="25">1+D96</f>
        <v>2013</v>
      </c>
      <c r="F96" s="12">
        <f t="shared" si="25"/>
        <v>2014</v>
      </c>
      <c r="G96" s="12">
        <f t="shared" si="25"/>
        <v>2015</v>
      </c>
      <c r="H96" s="12">
        <f t="shared" si="25"/>
        <v>2016</v>
      </c>
      <c r="I96" s="12">
        <f t="shared" si="25"/>
        <v>2017</v>
      </c>
      <c r="J96" s="12">
        <f t="shared" si="25"/>
        <v>2018</v>
      </c>
      <c r="K96" s="12">
        <f t="shared" si="25"/>
        <v>2019</v>
      </c>
      <c r="L96" s="12">
        <f t="shared" si="25"/>
        <v>2020</v>
      </c>
      <c r="M96" s="12">
        <f t="shared" si="25"/>
        <v>2021</v>
      </c>
      <c r="N96" s="12">
        <f t="shared" si="25"/>
        <v>2022</v>
      </c>
      <c r="O96" s="10"/>
      <c r="P96" s="10"/>
      <c r="Q96" s="10"/>
      <c r="R96" s="10"/>
    </row>
    <row r="97" spans="1:18" ht="15.75">
      <c r="A97" s="32" t="s">
        <v>44</v>
      </c>
      <c r="B97" s="33"/>
      <c r="C97" s="67">
        <f>+C89</f>
        <v>3910.1000000000004</v>
      </c>
      <c r="D97" s="67">
        <f t="shared" ref="D97:N97" si="26">+D89</f>
        <v>4594.6235880071299</v>
      </c>
      <c r="E97" s="67">
        <f t="shared" si="26"/>
        <v>3590.8258394043296</v>
      </c>
      <c r="F97" s="67">
        <f t="shared" si="26"/>
        <v>3939.3495189106379</v>
      </c>
      <c r="G97" s="67">
        <f t="shared" si="26"/>
        <v>4321.7007246209951</v>
      </c>
      <c r="H97" s="67">
        <f t="shared" si="26"/>
        <v>4741.1627385514275</v>
      </c>
      <c r="I97" s="67">
        <f t="shared" si="26"/>
        <v>5201.3375163547025</v>
      </c>
      <c r="J97" s="67">
        <f t="shared" si="26"/>
        <v>5706.1766176169531</v>
      </c>
      <c r="K97" s="67">
        <f t="shared" si="26"/>
        <v>6260.015138232764</v>
      </c>
      <c r="L97" s="67">
        <f t="shared" si="26"/>
        <v>6867.608936238852</v>
      </c>
      <c r="M97" s="67">
        <f t="shared" si="26"/>
        <v>7534.1754707677028</v>
      </c>
      <c r="N97" s="67">
        <f t="shared" si="26"/>
        <v>8265.4386048086581</v>
      </c>
      <c r="O97" s="10"/>
      <c r="P97" s="10"/>
      <c r="Q97" s="10"/>
      <c r="R97" s="10"/>
    </row>
    <row r="98" spans="1:18" ht="15.75">
      <c r="A98" s="32" t="s">
        <v>51</v>
      </c>
      <c r="B98" s="69">
        <f>+SUM(C98:N98)</f>
        <v>32384.024109892409</v>
      </c>
      <c r="C98" s="1">
        <f>+C97/(1+$B$55)^(C96-2010)</f>
        <v>3526.4177066689308</v>
      </c>
      <c r="D98" s="1">
        <f>+D97/(1+$B$55)^(D96-2010)</f>
        <v>3737.1602062856064</v>
      </c>
      <c r="E98" s="1">
        <f t="shared" ref="E98:N98" si="27">+E97/(1+$B$55)^(E96-2010)</f>
        <v>2634.0984852476076</v>
      </c>
      <c r="F98" s="1">
        <f t="shared" si="27"/>
        <v>2606.2019847499678</v>
      </c>
      <c r="G98" s="1">
        <f t="shared" si="27"/>
        <v>2578.6009229932779</v>
      </c>
      <c r="H98" s="1">
        <f t="shared" si="27"/>
        <v>2551.2921711245185</v>
      </c>
      <c r="I98" s="1">
        <f t="shared" si="27"/>
        <v>2524.272633426895</v>
      </c>
      <c r="J98" s="1">
        <f t="shared" si="27"/>
        <v>2497.5392469688895</v>
      </c>
      <c r="K98" s="1">
        <f t="shared" si="27"/>
        <v>2471.088981257054</v>
      </c>
      <c r="L98" s="1">
        <f t="shared" si="27"/>
        <v>2444.9188378924755</v>
      </c>
      <c r="M98" s="1">
        <f t="shared" si="27"/>
        <v>2419.0258502308775</v>
      </c>
      <c r="N98" s="1">
        <f t="shared" si="27"/>
        <v>2393.4070830463083</v>
      </c>
    </row>
    <row r="99" spans="1:18" s="36" customFormat="1"/>
    <row r="100" spans="1:18" s="38" customFormat="1" ht="15.75">
      <c r="A100" s="70" t="s">
        <v>53</v>
      </c>
      <c r="B100" s="73">
        <v>0.03</v>
      </c>
    </row>
    <row r="101" spans="1:18" s="38" customFormat="1"/>
    <row r="102" spans="1:18" ht="15.75">
      <c r="A102" s="32" t="s">
        <v>52</v>
      </c>
      <c r="B102" s="69">
        <f>+N98/($B$55-$B$100)</f>
        <v>30372.306817631204</v>
      </c>
      <c r="M102" s="1"/>
      <c r="N102" s="1"/>
    </row>
    <row r="103" spans="1:18" s="36" customFormat="1">
      <c r="A103" s="38"/>
      <c r="B103" s="38"/>
    </row>
    <row r="104" spans="1:18" s="38" customFormat="1">
      <c r="A104" s="1"/>
      <c r="B104" s="1"/>
    </row>
    <row r="105" spans="1:18" s="38" customFormat="1">
      <c r="A105" s="1"/>
      <c r="B105" s="1"/>
    </row>
    <row r="106" spans="1:18" s="38" customFormat="1" ht="15.75">
      <c r="A106" s="32" t="s">
        <v>35</v>
      </c>
      <c r="B106" s="69">
        <f>27.376-19.784</f>
        <v>7.5920000000000023</v>
      </c>
    </row>
    <row r="107" spans="1:18" s="38" customFormat="1">
      <c r="A107" s="36"/>
      <c r="B107" s="36"/>
    </row>
    <row r="108" spans="1:18" ht="15.75">
      <c r="A108" s="32" t="s">
        <v>21</v>
      </c>
      <c r="B108" s="69">
        <f>+B106+B102+B98-B49</f>
        <v>33663.922927523614</v>
      </c>
      <c r="C108" s="43"/>
      <c r="M108" s="1"/>
    </row>
    <row r="109" spans="1:18" ht="14.25" thickBot="1">
      <c r="A109" s="38"/>
      <c r="B109" s="38"/>
      <c r="C109" s="43"/>
      <c r="M109" s="1"/>
    </row>
    <row r="110" spans="1:18" ht="18.75">
      <c r="A110" s="81" t="s">
        <v>22</v>
      </c>
      <c r="B110" s="82">
        <f>+B108/C85</f>
        <v>52.599879574255645</v>
      </c>
      <c r="C110" s="6"/>
      <c r="M110" s="1"/>
    </row>
    <row r="111" spans="1:18" ht="13.5">
      <c r="A111" s="83"/>
      <c r="B111" s="84"/>
      <c r="C111" s="43"/>
      <c r="M111" s="1"/>
    </row>
    <row r="112" spans="1:18" ht="16.5" thickBot="1">
      <c r="A112" s="85" t="s">
        <v>23</v>
      </c>
      <c r="B112" s="86">
        <v>77.75</v>
      </c>
      <c r="C112" s="6"/>
      <c r="M112" s="1"/>
    </row>
    <row r="113" spans="1:14" ht="13.5">
      <c r="A113" s="38"/>
      <c r="B113" s="38"/>
      <c r="C113" s="6"/>
      <c r="M113" s="1"/>
    </row>
    <row r="114" spans="1:14" ht="13.5">
      <c r="C114" s="6"/>
      <c r="M114" s="1"/>
    </row>
    <row r="115" spans="1:14">
      <c r="M115" s="1"/>
    </row>
    <row r="116" spans="1:14" ht="13.5">
      <c r="C116" s="6"/>
      <c r="M116" s="1"/>
    </row>
    <row r="117" spans="1:14" ht="13.5">
      <c r="A117" s="38"/>
      <c r="B117" s="42"/>
      <c r="C117" s="6"/>
      <c r="M117" s="1"/>
    </row>
    <row r="118" spans="1:14" ht="13.5">
      <c r="A118" s="38"/>
      <c r="B118" s="38"/>
      <c r="C118" s="6"/>
      <c r="M118" s="1"/>
    </row>
    <row r="119" spans="1:14" ht="13.5">
      <c r="A119" s="38"/>
      <c r="B119" s="42"/>
      <c r="C119" s="6"/>
      <c r="M119" s="1"/>
    </row>
    <row r="120" spans="1:14">
      <c r="M120" s="1"/>
      <c r="N120" s="1"/>
    </row>
    <row r="121" spans="1:14">
      <c r="M121" s="1"/>
      <c r="N121" s="1"/>
    </row>
    <row r="122" spans="1:14">
      <c r="M122" s="1"/>
      <c r="N122" s="1"/>
    </row>
    <row r="123" spans="1:14">
      <c r="M123" s="1"/>
      <c r="N123" s="1"/>
    </row>
    <row r="124" spans="1:14">
      <c r="M124" s="1"/>
      <c r="N124" s="1"/>
    </row>
    <row r="125" spans="1:14">
      <c r="M125" s="1"/>
      <c r="N125" s="1"/>
    </row>
    <row r="126" spans="1:14">
      <c r="M126" s="1"/>
      <c r="N126" s="1"/>
    </row>
    <row r="127" spans="1:14">
      <c r="M127" s="1"/>
      <c r="N127" s="1"/>
    </row>
    <row r="128" spans="1:14">
      <c r="M128" s="1"/>
      <c r="N128" s="1"/>
    </row>
    <row r="129" spans="13:14">
      <c r="M129" s="1"/>
      <c r="N129" s="1"/>
    </row>
    <row r="130" spans="13:14">
      <c r="M130" s="1"/>
      <c r="N130" s="1"/>
    </row>
    <row r="131" spans="13:14">
      <c r="M131" s="1"/>
      <c r="N131" s="1"/>
    </row>
    <row r="132" spans="13:14">
      <c r="M132" s="1"/>
      <c r="N132" s="1"/>
    </row>
    <row r="133" spans="13:14">
      <c r="M133" s="1"/>
      <c r="N133" s="1"/>
    </row>
    <row r="134" spans="13:14">
      <c r="M134" s="1"/>
      <c r="N134" s="1"/>
    </row>
    <row r="135" spans="13:14">
      <c r="M135" s="1"/>
      <c r="N135" s="1"/>
    </row>
    <row r="136" spans="13:14">
      <c r="M136" s="1"/>
      <c r="N136" s="1"/>
    </row>
    <row r="137" spans="13:14">
      <c r="M137" s="1"/>
      <c r="N137" s="1"/>
    </row>
    <row r="138" spans="13:14">
      <c r="M138" s="1"/>
      <c r="N138" s="1"/>
    </row>
    <row r="139" spans="13:14">
      <c r="M139" s="1"/>
      <c r="N139" s="1"/>
    </row>
    <row r="140" spans="13:14">
      <c r="M140" s="1"/>
      <c r="N140" s="1"/>
    </row>
    <row r="141" spans="13:14">
      <c r="M141" s="1"/>
      <c r="N141" s="1"/>
    </row>
    <row r="142" spans="13:14">
      <c r="M142" s="1"/>
      <c r="N142" s="1"/>
    </row>
    <row r="143" spans="13:14">
      <c r="M143" s="1"/>
      <c r="N143" s="1"/>
    </row>
    <row r="144" spans="13:14">
      <c r="M144" s="1"/>
      <c r="N144" s="1"/>
    </row>
    <row r="145" spans="1:14" s="39" customFormat="1" ht="13.5">
      <c r="A145" s="1"/>
      <c r="B145" s="1"/>
      <c r="C145" s="1"/>
      <c r="D145" s="1"/>
      <c r="E145" s="1"/>
      <c r="M145" s="40"/>
      <c r="N145" s="40"/>
    </row>
    <row r="146" spans="1:14" s="39" customFormat="1" ht="13.5">
      <c r="A146" s="1"/>
      <c r="B146" s="1"/>
      <c r="C146" s="1"/>
      <c r="D146" s="1"/>
      <c r="E146" s="1"/>
      <c r="M146" s="40"/>
      <c r="N146" s="40"/>
    </row>
    <row r="152" spans="1:14" s="39" customFormat="1" ht="13.5">
      <c r="A152" s="1"/>
      <c r="B152" s="1"/>
      <c r="C152" s="1"/>
      <c r="D152" s="1"/>
      <c r="E152" s="1"/>
      <c r="M152" s="40"/>
      <c r="N152" s="40"/>
    </row>
    <row r="155" spans="1:14" s="7" customFormat="1">
      <c r="A155" s="1"/>
      <c r="B155" s="1"/>
      <c r="C155" s="1"/>
      <c r="D155" s="1"/>
      <c r="E155" s="1"/>
      <c r="M155" s="26"/>
      <c r="N155" s="26"/>
    </row>
    <row r="159" spans="1:14">
      <c r="F159" s="38"/>
      <c r="G159" s="38"/>
      <c r="H159" s="38"/>
      <c r="I159" s="38"/>
    </row>
    <row r="160" spans="1:14">
      <c r="F160" s="38"/>
      <c r="G160" s="38"/>
      <c r="H160" s="38"/>
      <c r="I160" s="38"/>
    </row>
    <row r="161" spans="1:9">
      <c r="F161" s="38"/>
      <c r="G161" s="38"/>
      <c r="H161" s="38"/>
      <c r="I161" s="38"/>
    </row>
    <row r="162" spans="1:9">
      <c r="F162" s="38"/>
      <c r="G162" s="38"/>
      <c r="H162" s="38"/>
      <c r="I162" s="38"/>
    </row>
    <row r="163" spans="1:9">
      <c r="F163" s="38"/>
      <c r="G163" s="38"/>
      <c r="H163" s="38"/>
      <c r="I163" s="38"/>
    </row>
    <row r="164" spans="1:9">
      <c r="F164" s="38"/>
      <c r="G164" s="38"/>
      <c r="H164" s="38"/>
      <c r="I164" s="38"/>
    </row>
    <row r="165" spans="1:9">
      <c r="A165" s="36"/>
      <c r="B165" s="36"/>
      <c r="C165" s="47"/>
      <c r="D165" s="38"/>
      <c r="E165" s="38"/>
      <c r="F165" s="38"/>
      <c r="G165" s="38"/>
      <c r="H165" s="38"/>
      <c r="I165" s="38"/>
    </row>
    <row r="166" spans="1:9">
      <c r="A166" s="36"/>
      <c r="B166" s="36"/>
      <c r="C166" s="46"/>
      <c r="D166" s="38"/>
      <c r="E166" s="38"/>
      <c r="F166" s="38"/>
      <c r="G166" s="38"/>
      <c r="H166" s="38"/>
      <c r="I166" s="38"/>
    </row>
    <row r="167" spans="1:9">
      <c r="A167" s="48"/>
      <c r="B167" s="48"/>
      <c r="C167" s="49"/>
      <c r="D167" s="49"/>
      <c r="E167" s="49"/>
      <c r="F167" s="49"/>
      <c r="G167" s="49"/>
      <c r="H167" s="49"/>
      <c r="I167" s="49"/>
    </row>
    <row r="168" spans="1:9">
      <c r="A168" s="38"/>
      <c r="B168" s="38"/>
      <c r="C168" s="38"/>
      <c r="D168" s="38"/>
      <c r="E168" s="38"/>
      <c r="F168" s="38"/>
      <c r="G168" s="38"/>
      <c r="H168" s="38"/>
      <c r="I168" s="38"/>
    </row>
    <row r="169" spans="1:9">
      <c r="A169" s="38"/>
      <c r="B169" s="38"/>
      <c r="C169" s="38"/>
      <c r="D169" s="38"/>
      <c r="E169" s="38"/>
      <c r="F169" s="38"/>
      <c r="G169" s="38"/>
      <c r="H169" s="38"/>
      <c r="I169" s="38"/>
    </row>
    <row r="170" spans="1:9">
      <c r="A170" s="38"/>
      <c r="B170" s="38"/>
      <c r="C170" s="38"/>
      <c r="D170" s="38"/>
      <c r="E170" s="38"/>
      <c r="F170" s="38"/>
      <c r="G170" s="38"/>
      <c r="H170" s="38"/>
      <c r="I170" s="38"/>
    </row>
    <row r="171" spans="1:9" ht="13.5">
      <c r="A171" s="50"/>
      <c r="B171" s="50"/>
      <c r="C171" s="38"/>
      <c r="D171" s="38"/>
      <c r="E171" s="38"/>
      <c r="F171" s="38"/>
      <c r="G171" s="38"/>
      <c r="H171" s="38"/>
      <c r="I171" s="38"/>
    </row>
    <row r="172" spans="1:9">
      <c r="A172" s="38"/>
      <c r="B172" s="38"/>
      <c r="C172" s="38"/>
      <c r="D172" s="38"/>
      <c r="E172" s="38"/>
      <c r="F172" s="38"/>
      <c r="G172" s="38"/>
      <c r="H172" s="38"/>
      <c r="I172" s="38"/>
    </row>
    <row r="173" spans="1:9" ht="13.5">
      <c r="A173" s="38"/>
      <c r="B173" s="38"/>
      <c r="C173" s="44"/>
      <c r="D173" s="38"/>
      <c r="E173" s="38"/>
      <c r="F173" s="38"/>
      <c r="G173" s="38"/>
      <c r="H173" s="38"/>
      <c r="I173" s="38"/>
    </row>
    <row r="174" spans="1:9" ht="13.5">
      <c r="A174" s="51"/>
      <c r="B174" s="51"/>
      <c r="C174" s="52"/>
      <c r="D174" s="48"/>
      <c r="E174" s="48"/>
      <c r="F174" s="48"/>
      <c r="G174" s="38"/>
      <c r="H174" s="38"/>
      <c r="I174" s="38"/>
    </row>
    <row r="175" spans="1:9">
      <c r="A175" s="38"/>
      <c r="B175" s="38"/>
      <c r="C175" s="49"/>
      <c r="D175" s="48"/>
      <c r="E175" s="48"/>
      <c r="F175" s="48"/>
      <c r="G175" s="38"/>
      <c r="H175" s="38"/>
      <c r="I175" s="38"/>
    </row>
    <row r="176" spans="1:9">
      <c r="A176" s="38"/>
      <c r="B176" s="38"/>
      <c r="C176" s="49"/>
      <c r="D176" s="48"/>
      <c r="E176" s="48"/>
      <c r="F176" s="48"/>
      <c r="G176" s="38"/>
      <c r="H176" s="38"/>
      <c r="I176" s="38"/>
    </row>
    <row r="177" spans="1:9">
      <c r="A177" s="38"/>
      <c r="B177" s="38"/>
      <c r="C177" s="49"/>
      <c r="D177" s="48"/>
      <c r="E177" s="48"/>
      <c r="F177" s="48"/>
      <c r="G177" s="38"/>
      <c r="H177" s="38"/>
      <c r="I177" s="38"/>
    </row>
    <row r="178" spans="1:9">
      <c r="A178" s="38"/>
      <c r="B178" s="38"/>
      <c r="C178" s="38"/>
      <c r="D178" s="38"/>
      <c r="E178" s="38"/>
      <c r="F178" s="38"/>
      <c r="G178" s="38"/>
      <c r="H178" s="38"/>
      <c r="I178" s="38"/>
    </row>
    <row r="179" spans="1:9">
      <c r="A179" s="38"/>
      <c r="B179" s="38"/>
      <c r="C179" s="38"/>
      <c r="D179" s="38"/>
      <c r="E179" s="38"/>
      <c r="F179" s="38"/>
      <c r="G179" s="38"/>
      <c r="H179" s="38"/>
      <c r="I179" s="38"/>
    </row>
    <row r="180" spans="1:9">
      <c r="A180" s="38"/>
      <c r="B180" s="38"/>
      <c r="C180" s="38"/>
      <c r="D180" s="38"/>
      <c r="E180" s="38"/>
      <c r="F180" s="38"/>
      <c r="G180" s="38"/>
      <c r="H180" s="38"/>
      <c r="I180" s="38"/>
    </row>
    <row r="181" spans="1:9">
      <c r="A181" s="53"/>
      <c r="B181" s="53"/>
      <c r="C181" s="37"/>
      <c r="D181" s="38"/>
      <c r="E181" s="38"/>
      <c r="F181" s="38"/>
      <c r="G181" s="38"/>
      <c r="H181" s="38"/>
      <c r="I181" s="38"/>
    </row>
    <row r="182" spans="1:9">
      <c r="A182" s="53"/>
      <c r="B182" s="53"/>
      <c r="C182" s="37"/>
      <c r="D182" s="38"/>
      <c r="E182" s="38"/>
      <c r="F182" s="38"/>
      <c r="G182" s="38"/>
      <c r="H182" s="38"/>
      <c r="I182" s="38"/>
    </row>
    <row r="183" spans="1:9">
      <c r="A183" s="53"/>
      <c r="B183" s="53"/>
      <c r="C183" s="37"/>
      <c r="D183" s="38"/>
      <c r="E183" s="38"/>
      <c r="F183" s="38"/>
      <c r="G183" s="49"/>
      <c r="H183" s="38"/>
      <c r="I183" s="38"/>
    </row>
    <row r="184" spans="1:9">
      <c r="A184" s="54"/>
      <c r="B184" s="54"/>
      <c r="C184" s="45"/>
      <c r="D184" s="38"/>
      <c r="E184" s="38"/>
      <c r="F184" s="38"/>
      <c r="G184" s="38"/>
      <c r="H184" s="38"/>
      <c r="I184" s="38"/>
    </row>
    <row r="185" spans="1:9">
      <c r="A185" s="38"/>
      <c r="B185" s="38"/>
      <c r="C185" s="38"/>
      <c r="D185" s="38"/>
      <c r="E185" s="38"/>
      <c r="F185" s="38"/>
      <c r="G185" s="38"/>
      <c r="H185" s="38"/>
      <c r="I185" s="38"/>
    </row>
  </sheetData>
  <phoneticPr fontId="0" type="noConversion"/>
  <pageMargins left="0.75" right="0.75" top="1" bottom="1" header="0.5" footer="0.5"/>
  <pageSetup scale="77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CAT-VAL</vt:lpstr>
      <vt:lpstr>Sheet3</vt:lpstr>
    </vt:vector>
  </TitlesOfParts>
  <Company>KGSM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 PhD</dc:creator>
  <cp:lastModifiedBy>Nisan Langberg</cp:lastModifiedBy>
  <cp:lastPrinted>2003-02-18T15:57:15Z</cp:lastPrinted>
  <dcterms:created xsi:type="dcterms:W3CDTF">2001-11-07T20:46:23Z</dcterms:created>
  <dcterms:modified xsi:type="dcterms:W3CDTF">2010-11-17T18:55:59Z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-1330816834</vt:i4>
  </property>
  <property fmtid="{D5CDD505-2E9C-101B-9397-08002B2CF9AE}" pid="3" name="_EmailSubject">
    <vt:lpwstr>StockValuationCAT.xls</vt:lpwstr>
  </property>
  <property fmtid="{D5CDD505-2E9C-101B-9397-08002B2CF9AE}" pid="4" name="_AuthorEmail">
    <vt:lpwstr>n-langberg@northwestern.edu</vt:lpwstr>
  </property>
  <property fmtid="{D5CDD505-2E9C-101B-9397-08002B2CF9AE}" pid="5" name="_AuthorEmailDisplayName">
    <vt:lpwstr>Nisan Langberg</vt:lpwstr>
  </property>
  <property fmtid="{D5CDD505-2E9C-101B-9397-08002B2CF9AE}" pid="6" name="_ReviewingToolsShownOnce">
    <vt:lpwstr/>
  </property>
</Properties>
</file>